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C:\Users\richarr\Downloads\"/>
    </mc:Choice>
  </mc:AlternateContent>
  <xr:revisionPtr revIDLastSave="0" documentId="13_ncr:1_{16D7625B-257B-424A-BC1C-2FC8248922E9}" xr6:coauthVersionLast="47" xr6:coauthVersionMax="47" xr10:uidLastSave="{00000000-0000-0000-0000-000000000000}"/>
  <bookViews>
    <workbookView xWindow="-120" yWindow="-120" windowWidth="29040" windowHeight="15720" tabRatio="817" activeTab="3" xr2:uid="{554FC1BE-0795-418C-B950-CB39B3B1E4AF}"/>
  </bookViews>
  <sheets>
    <sheet name="Index" sheetId="24" r:id="rId1"/>
    <sheet name="Assumptions" sheetId="15" r:id="rId2"/>
    <sheet name="Project Model" sheetId="3" r:id="rId3"/>
    <sheet name="Cashflow" sheetId="30" r:id="rId4"/>
    <sheet name="Funding" sheetId="17" r:id="rId5"/>
    <sheet name="Outputs" sheetId="32" r:id="rId6"/>
    <sheet name="In-kind" sheetId="7" r:id="rId7"/>
    <sheet name="Milestones" sheetId="19" r:id="rId8"/>
    <sheet name="Charts" sheetId="12" r:id="rId9"/>
    <sheet name="Eligible costs" sheetId="20" r:id="rId10"/>
    <sheet name="Scratchpad" sheetId="10" r:id="rId11"/>
    <sheet name="Grid emissions" sheetId="28" r:id="rId12"/>
    <sheet name="Glossary" sheetId="11"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2" i="15" l="1"/>
  <c r="B55" i="30"/>
  <c r="B56" i="30"/>
  <c r="B57" i="30"/>
  <c r="B58" i="30"/>
  <c r="B59" i="30"/>
  <c r="B60" i="30"/>
  <c r="B61" i="30"/>
  <c r="B62" i="30"/>
  <c r="B63" i="30"/>
  <c r="K63" i="30" s="1"/>
  <c r="B64" i="30"/>
  <c r="K64" i="30" s="1"/>
  <c r="B65" i="30"/>
  <c r="K65" i="30" s="1"/>
  <c r="B66" i="30"/>
  <c r="B67" i="30"/>
  <c r="K67" i="30" s="1"/>
  <c r="B68" i="30"/>
  <c r="K68" i="30" s="1"/>
  <c r="B69" i="30"/>
  <c r="B70" i="30"/>
  <c r="B71" i="30"/>
  <c r="K71" i="30" s="1"/>
  <c r="B72" i="30"/>
  <c r="K72" i="30" s="1"/>
  <c r="B73" i="30"/>
  <c r="B32" i="30"/>
  <c r="B33" i="30"/>
  <c r="B34" i="30"/>
  <c r="B35" i="30"/>
  <c r="B36" i="30"/>
  <c r="B37" i="30"/>
  <c r="B38" i="30"/>
  <c r="B39" i="30"/>
  <c r="B40" i="30"/>
  <c r="B41" i="30"/>
  <c r="B42" i="30"/>
  <c r="B43" i="30"/>
  <c r="B44" i="30"/>
  <c r="B45" i="30"/>
  <c r="B46" i="30"/>
  <c r="B47" i="30"/>
  <c r="B48" i="30"/>
  <c r="B49" i="30"/>
  <c r="B50" i="30"/>
  <c r="K66" i="30"/>
  <c r="K69" i="30"/>
  <c r="K70" i="30"/>
  <c r="N110" i="3"/>
  <c r="O110" i="3"/>
  <c r="P110" i="3"/>
  <c r="Q110" i="3"/>
  <c r="R110" i="3"/>
  <c r="S110" i="3"/>
  <c r="T110" i="3"/>
  <c r="U110" i="3"/>
  <c r="V110" i="3"/>
  <c r="W110" i="3"/>
  <c r="N107" i="3"/>
  <c r="O107" i="3"/>
  <c r="P107" i="3"/>
  <c r="Q107" i="3"/>
  <c r="R107" i="3"/>
  <c r="S107" i="3"/>
  <c r="T107" i="3"/>
  <c r="U107" i="3"/>
  <c r="V107" i="3"/>
  <c r="W107" i="3"/>
  <c r="N96" i="3"/>
  <c r="O96" i="3"/>
  <c r="P96" i="3"/>
  <c r="Q96" i="3"/>
  <c r="R96" i="3"/>
  <c r="S96" i="3"/>
  <c r="T96" i="3"/>
  <c r="U96" i="3"/>
  <c r="V96" i="3"/>
  <c r="W96" i="3"/>
  <c r="N85" i="3"/>
  <c r="O85" i="3"/>
  <c r="P85" i="3"/>
  <c r="Q85" i="3"/>
  <c r="R85" i="3"/>
  <c r="S85" i="3"/>
  <c r="T85" i="3"/>
  <c r="U85" i="3"/>
  <c r="V85" i="3"/>
  <c r="W85" i="3"/>
  <c r="X85" i="3"/>
  <c r="N86" i="3"/>
  <c r="O86" i="3"/>
  <c r="P86" i="3"/>
  <c r="Q86" i="3"/>
  <c r="R86" i="3"/>
  <c r="S86" i="3"/>
  <c r="T86" i="3"/>
  <c r="U86" i="3"/>
  <c r="V86" i="3"/>
  <c r="W86" i="3"/>
  <c r="X86" i="3"/>
  <c r="N87" i="3"/>
  <c r="O87" i="3"/>
  <c r="P87" i="3"/>
  <c r="Q87" i="3"/>
  <c r="R87" i="3"/>
  <c r="S87" i="3"/>
  <c r="T87" i="3"/>
  <c r="U87" i="3"/>
  <c r="V87" i="3"/>
  <c r="W87" i="3"/>
  <c r="X87" i="3"/>
  <c r="N88" i="3"/>
  <c r="O88" i="3"/>
  <c r="P88" i="3"/>
  <c r="Q88" i="3"/>
  <c r="R88" i="3"/>
  <c r="S88" i="3"/>
  <c r="T88" i="3"/>
  <c r="U88" i="3"/>
  <c r="V88" i="3"/>
  <c r="W88" i="3"/>
  <c r="X88" i="3"/>
  <c r="N89" i="3"/>
  <c r="O89" i="3"/>
  <c r="P89" i="3"/>
  <c r="Q89" i="3"/>
  <c r="R89" i="3"/>
  <c r="S89" i="3"/>
  <c r="T89" i="3"/>
  <c r="U89" i="3"/>
  <c r="V89" i="3"/>
  <c r="W89" i="3"/>
  <c r="X89" i="3"/>
  <c r="N90" i="3"/>
  <c r="O90" i="3"/>
  <c r="P90" i="3"/>
  <c r="Q90" i="3"/>
  <c r="R90" i="3"/>
  <c r="S90" i="3"/>
  <c r="T90" i="3"/>
  <c r="U90" i="3"/>
  <c r="V90" i="3"/>
  <c r="W90" i="3"/>
  <c r="X90" i="3"/>
  <c r="N91" i="3"/>
  <c r="O91" i="3"/>
  <c r="P91" i="3"/>
  <c r="Q91" i="3"/>
  <c r="R91" i="3"/>
  <c r="S91" i="3"/>
  <c r="T91" i="3"/>
  <c r="U91" i="3"/>
  <c r="V91" i="3"/>
  <c r="W91" i="3"/>
  <c r="X91" i="3"/>
  <c r="N92" i="3"/>
  <c r="O92" i="3"/>
  <c r="P92" i="3"/>
  <c r="Q92" i="3"/>
  <c r="R92" i="3"/>
  <c r="S92" i="3"/>
  <c r="T92" i="3"/>
  <c r="U92" i="3"/>
  <c r="V92" i="3"/>
  <c r="W92" i="3"/>
  <c r="X92" i="3"/>
  <c r="N93" i="3"/>
  <c r="O93" i="3"/>
  <c r="P93" i="3"/>
  <c r="Q93" i="3"/>
  <c r="R93" i="3"/>
  <c r="S93" i="3"/>
  <c r="T93" i="3"/>
  <c r="U93" i="3"/>
  <c r="V93" i="3"/>
  <c r="W93" i="3"/>
  <c r="X93" i="3"/>
  <c r="N69" i="3"/>
  <c r="O69" i="3"/>
  <c r="P69" i="3"/>
  <c r="Q69" i="3"/>
  <c r="R69" i="3"/>
  <c r="S69" i="3"/>
  <c r="T69" i="3"/>
  <c r="U69" i="3"/>
  <c r="V69" i="3"/>
  <c r="W69" i="3"/>
  <c r="N70" i="3"/>
  <c r="O70" i="3"/>
  <c r="P70" i="3"/>
  <c r="Q70" i="3"/>
  <c r="R70" i="3"/>
  <c r="S70" i="3"/>
  <c r="T70" i="3"/>
  <c r="U70" i="3"/>
  <c r="V70" i="3"/>
  <c r="W70" i="3"/>
  <c r="N71" i="3"/>
  <c r="O71" i="3"/>
  <c r="P71" i="3"/>
  <c r="Q71" i="3"/>
  <c r="R71" i="3"/>
  <c r="S71" i="3"/>
  <c r="T71" i="3"/>
  <c r="U71" i="3"/>
  <c r="V71" i="3"/>
  <c r="W71" i="3"/>
  <c r="F48" i="3"/>
  <c r="E48" i="3"/>
  <c r="K48" i="3"/>
  <c r="L48" i="3"/>
  <c r="M48" i="3"/>
  <c r="N48" i="3"/>
  <c r="O48" i="3"/>
  <c r="P48" i="3"/>
  <c r="Q48" i="3"/>
  <c r="R48" i="3"/>
  <c r="S48" i="3"/>
  <c r="T48" i="3"/>
  <c r="U48" i="3"/>
  <c r="V48" i="3"/>
  <c r="W48" i="3"/>
  <c r="X48" i="3"/>
  <c r="J48" i="3"/>
  <c r="N42" i="3"/>
  <c r="O42" i="3"/>
  <c r="P42" i="3"/>
  <c r="Q42" i="3"/>
  <c r="R42" i="3"/>
  <c r="S42" i="3"/>
  <c r="T42" i="3"/>
  <c r="U42" i="3"/>
  <c r="V42" i="3"/>
  <c r="W42" i="3"/>
  <c r="N30" i="3"/>
  <c r="O30" i="3"/>
  <c r="P30" i="3"/>
  <c r="Q30" i="3"/>
  <c r="R30" i="3"/>
  <c r="S30" i="3"/>
  <c r="T30" i="3"/>
  <c r="U30" i="3"/>
  <c r="V30" i="3"/>
  <c r="W30" i="3"/>
  <c r="N31" i="3"/>
  <c r="O31" i="3"/>
  <c r="P31" i="3"/>
  <c r="Q31" i="3"/>
  <c r="R31" i="3"/>
  <c r="S31" i="3"/>
  <c r="T31" i="3"/>
  <c r="U31" i="3"/>
  <c r="V31" i="3"/>
  <c r="W31" i="3"/>
  <c r="F5" i="15" a="1"/>
  <c r="F5" i="15" s="1"/>
  <c r="Y9" i="3"/>
  <c r="D6" i="15"/>
  <c r="G2" i="15"/>
  <c r="N76" i="30"/>
  <c r="O76" i="30"/>
  <c r="P76" i="30"/>
  <c r="Q76" i="30"/>
  <c r="R76" i="30"/>
  <c r="S76" i="30"/>
  <c r="T76" i="30"/>
  <c r="U76" i="30"/>
  <c r="V76" i="30"/>
  <c r="W76" i="30"/>
  <c r="X76" i="30"/>
  <c r="Y76" i="30"/>
  <c r="Z76" i="30"/>
  <c r="AA76" i="30"/>
  <c r="AB76" i="30"/>
  <c r="AC76" i="30"/>
  <c r="AD76" i="30"/>
  <c r="AE76" i="30"/>
  <c r="AF76" i="30"/>
  <c r="AG76" i="30"/>
  <c r="AH76" i="30"/>
  <c r="AI76" i="30"/>
  <c r="AJ76" i="30"/>
  <c r="AK76" i="30"/>
  <c r="AL76" i="30"/>
  <c r="AM76" i="30"/>
  <c r="S74" i="15"/>
  <c r="H73" i="15"/>
  <c r="F70" i="15" a="1"/>
  <c r="F70" i="15" s="1"/>
  <c r="A13" i="24" l="1"/>
  <c r="A12" i="24"/>
  <c r="A4" i="24"/>
  <c r="A5" i="24"/>
  <c r="A6" i="24"/>
  <c r="A7" i="24"/>
  <c r="A8" i="24"/>
  <c r="A3" i="24"/>
  <c r="A2" i="24"/>
  <c r="B3" i="32"/>
  <c r="B4" i="32"/>
  <c r="B5" i="32"/>
  <c r="B7" i="32"/>
  <c r="B23" i="32"/>
  <c r="B24" i="32"/>
  <c r="B10" i="17"/>
  <c r="Y8" i="3"/>
  <c r="AA90" i="3"/>
  <c r="F30" i="3"/>
  <c r="L63" i="3"/>
  <c r="A17" i="24"/>
  <c r="A16" i="24"/>
  <c r="A15" i="24"/>
  <c r="A14" i="24"/>
  <c r="A11" i="24"/>
  <c r="A10" i="24"/>
  <c r="A9" i="24"/>
  <c r="K83" i="30"/>
  <c r="K82" i="30"/>
  <c r="D83" i="15"/>
  <c r="F83" i="15" s="1" a="1"/>
  <c r="F83" i="15" s="1"/>
  <c r="H79" i="15"/>
  <c r="F77" i="15" a="1"/>
  <c r="F77" i="15" s="1"/>
  <c r="F76" i="15" a="1"/>
  <c r="F76" i="15" s="1"/>
  <c r="F69" i="15" a="1"/>
  <c r="F69" i="15" s="1"/>
  <c r="F71" i="15" a="1"/>
  <c r="F71" i="15" s="1"/>
  <c r="F75" i="15" a="1"/>
  <c r="F75" i="15" s="1"/>
  <c r="F61" i="15" a="1"/>
  <c r="F61" i="15" s="1"/>
  <c r="I62" i="15" s="1"/>
  <c r="J62" i="15" s="1"/>
  <c r="K62" i="15" s="1"/>
  <c r="L62" i="15" s="1"/>
  <c r="M62" i="15" s="1"/>
  <c r="N62" i="15" s="1"/>
  <c r="O62" i="15" s="1"/>
  <c r="P62" i="15" s="1"/>
  <c r="Q62" i="15" s="1"/>
  <c r="R62" i="15" s="1"/>
  <c r="S62" i="15" s="1"/>
  <c r="T62" i="15" s="1"/>
  <c r="U62" i="15" s="1"/>
  <c r="V62" i="15" s="1"/>
  <c r="W62" i="15" s="1"/>
  <c r="X62" i="15" s="1"/>
  <c r="Y62" i="15" s="1"/>
  <c r="Z62" i="15" s="1"/>
  <c r="AA62" i="15" s="1"/>
  <c r="AB62" i="15" s="1"/>
  <c r="AC62" i="15" s="1"/>
  <c r="AD62" i="15" s="1"/>
  <c r="AE62" i="15" s="1"/>
  <c r="AF62" i="15" s="1"/>
  <c r="AG62" i="15" s="1"/>
  <c r="AH62" i="15" s="1"/>
  <c r="AI62" i="15" s="1"/>
  <c r="AJ62" i="15" s="1"/>
  <c r="AK62" i="15" s="1"/>
  <c r="AL62" i="15" s="1"/>
  <c r="AM62" i="15" s="1"/>
  <c r="AN62" i="15" s="1"/>
  <c r="AO62" i="15" s="1"/>
  <c r="AP62" i="15" s="1"/>
  <c r="AQ62" i="15" s="1"/>
  <c r="AR62" i="15" s="1"/>
  <c r="AS62" i="15" s="1"/>
  <c r="AT62" i="15" s="1"/>
  <c r="AU62" i="15" s="1"/>
  <c r="AV62" i="15" s="1"/>
  <c r="AW62" i="15" s="1"/>
  <c r="AX62" i="15" s="1"/>
  <c r="AY62" i="15" s="1"/>
  <c r="AZ62" i="15" s="1"/>
  <c r="BA62" i="15" s="1"/>
  <c r="BB62" i="15" s="1"/>
  <c r="BC62" i="15" s="1"/>
  <c r="BD62" i="15" s="1"/>
  <c r="BE62" i="15" s="1"/>
  <c r="BF62" i="15" s="1"/>
  <c r="BG62" i="15" s="1"/>
  <c r="BH62" i="15" s="1"/>
  <c r="K14" i="3" l="1"/>
  <c r="L27" i="3"/>
  <c r="D72" i="15"/>
  <c r="F72" i="15" s="1" a="1"/>
  <c r="F72" i="15" s="1"/>
  <c r="D78" i="15"/>
  <c r="F78" i="15" s="1" a="1"/>
  <c r="F78" i="15" s="1"/>
  <c r="I79" i="15" s="1"/>
  <c r="J79" i="15" s="1"/>
  <c r="K79" i="15" s="1"/>
  <c r="L79" i="15" s="1"/>
  <c r="M79" i="15" s="1"/>
  <c r="N79" i="15" s="1"/>
  <c r="O79" i="15" s="1"/>
  <c r="P79" i="15" s="1"/>
  <c r="Q79" i="15" s="1"/>
  <c r="R79" i="15" s="1"/>
  <c r="S79" i="15" s="1"/>
  <c r="T79" i="15" s="1"/>
  <c r="U79" i="15" s="1"/>
  <c r="V79" i="15" s="1"/>
  <c r="W79" i="15" s="1"/>
  <c r="X79" i="15" s="1"/>
  <c r="N86" i="30"/>
  <c r="O86" i="30"/>
  <c r="P86" i="30"/>
  <c r="Q86" i="30"/>
  <c r="R86" i="30"/>
  <c r="S86" i="30"/>
  <c r="T86" i="30"/>
  <c r="U86" i="30"/>
  <c r="V86" i="30"/>
  <c r="W86" i="30"/>
  <c r="X86" i="30"/>
  <c r="Y86" i="30"/>
  <c r="Z86" i="30"/>
  <c r="AA86" i="30"/>
  <c r="AB86" i="30"/>
  <c r="AC86" i="30"/>
  <c r="AD86" i="30"/>
  <c r="AE86" i="30"/>
  <c r="AF86" i="30"/>
  <c r="AG86" i="30"/>
  <c r="AH86" i="30"/>
  <c r="AI86" i="30"/>
  <c r="AJ86" i="30"/>
  <c r="AK86" i="30"/>
  <c r="AL86" i="30"/>
  <c r="AM86" i="30"/>
  <c r="AN86" i="30"/>
  <c r="AO86" i="30"/>
  <c r="AP86" i="30"/>
  <c r="AQ86" i="30"/>
  <c r="AR86" i="30"/>
  <c r="AS86" i="30"/>
  <c r="AT86" i="30"/>
  <c r="AU86" i="30"/>
  <c r="AV86" i="30"/>
  <c r="AW86" i="30"/>
  <c r="AX86" i="30"/>
  <c r="AY86" i="30"/>
  <c r="AZ86" i="30"/>
  <c r="BA86" i="30"/>
  <c r="BB86" i="30"/>
  <c r="BC86" i="30"/>
  <c r="BD86" i="30"/>
  <c r="BE86" i="30"/>
  <c r="BF86" i="30"/>
  <c r="BG86" i="30"/>
  <c r="BH86" i="30"/>
  <c r="BI86" i="30"/>
  <c r="BJ86" i="30"/>
  <c r="BK86" i="30"/>
  <c r="BL86" i="30"/>
  <c r="BM86" i="30"/>
  <c r="N81" i="30"/>
  <c r="O81" i="30"/>
  <c r="P81" i="30"/>
  <c r="Q81" i="30"/>
  <c r="R81" i="30"/>
  <c r="S81" i="30"/>
  <c r="T81" i="30"/>
  <c r="U81" i="30"/>
  <c r="V81" i="30"/>
  <c r="W81" i="30"/>
  <c r="X81" i="30"/>
  <c r="Y81" i="30"/>
  <c r="Z81" i="30"/>
  <c r="AA81" i="30"/>
  <c r="AB81" i="30"/>
  <c r="AC81" i="30"/>
  <c r="AD81" i="30"/>
  <c r="AE81" i="30"/>
  <c r="AF81" i="30"/>
  <c r="AG81" i="30"/>
  <c r="AH81" i="30"/>
  <c r="AI81" i="30"/>
  <c r="AJ81" i="30"/>
  <c r="AK81" i="30"/>
  <c r="AL81" i="30"/>
  <c r="AM81" i="30"/>
  <c r="AN81" i="30"/>
  <c r="AO81" i="30"/>
  <c r="AP81" i="30"/>
  <c r="AQ81" i="30"/>
  <c r="AR81" i="30"/>
  <c r="AS81" i="30"/>
  <c r="AT81" i="30"/>
  <c r="AU81" i="30"/>
  <c r="AV81" i="30"/>
  <c r="AW81" i="30"/>
  <c r="AX81" i="30"/>
  <c r="AY81" i="30"/>
  <c r="AZ81" i="30"/>
  <c r="BA81" i="30"/>
  <c r="BB81" i="30"/>
  <c r="BC81" i="30"/>
  <c r="BD81" i="30"/>
  <c r="BE81" i="30"/>
  <c r="BF81" i="30"/>
  <c r="BG81" i="30"/>
  <c r="BH81" i="30"/>
  <c r="BI81" i="30"/>
  <c r="BJ81" i="30"/>
  <c r="BK81" i="30"/>
  <c r="BL81" i="30"/>
  <c r="BM81" i="30"/>
  <c r="F53" i="30" a="1"/>
  <c r="F53" i="30" s="1"/>
  <c r="F30" i="30" a="1"/>
  <c r="F30" i="30" s="1"/>
  <c r="AN76" i="30"/>
  <c r="AO76" i="30"/>
  <c r="AP76" i="30"/>
  <c r="AQ76" i="30"/>
  <c r="AR76" i="30"/>
  <c r="AS76" i="30"/>
  <c r="AT76" i="30"/>
  <c r="AU76" i="30"/>
  <c r="AV76" i="30"/>
  <c r="AW76" i="30"/>
  <c r="AX76" i="30"/>
  <c r="AY76" i="30"/>
  <c r="AZ76" i="30"/>
  <c r="BA76" i="30"/>
  <c r="BB76" i="30"/>
  <c r="BC76" i="30"/>
  <c r="BD76" i="30"/>
  <c r="BE76" i="30"/>
  <c r="BF76" i="30"/>
  <c r="BG76" i="30"/>
  <c r="BH76" i="30"/>
  <c r="BI76" i="30"/>
  <c r="BJ76" i="30"/>
  <c r="BK76" i="30"/>
  <c r="BL76" i="30"/>
  <c r="BM76" i="30"/>
  <c r="N77" i="30"/>
  <c r="O77" i="30"/>
  <c r="P77" i="30"/>
  <c r="Q77" i="30"/>
  <c r="R77" i="30"/>
  <c r="S77" i="30"/>
  <c r="T77" i="30"/>
  <c r="U77" i="30"/>
  <c r="V77" i="30"/>
  <c r="W77" i="30"/>
  <c r="X77" i="30"/>
  <c r="Y77" i="30"/>
  <c r="Z77" i="30"/>
  <c r="AA77" i="30"/>
  <c r="AB77" i="30"/>
  <c r="AC77" i="30"/>
  <c r="AD77" i="30"/>
  <c r="AE77" i="30"/>
  <c r="AF77" i="30"/>
  <c r="AG77" i="30"/>
  <c r="AH77" i="30"/>
  <c r="AI77" i="30"/>
  <c r="AJ77" i="30"/>
  <c r="AK77" i="30"/>
  <c r="AL77" i="30"/>
  <c r="AM77" i="30"/>
  <c r="AN77" i="30"/>
  <c r="AO77" i="30"/>
  <c r="AP77" i="30"/>
  <c r="AQ77" i="30"/>
  <c r="AR77" i="30"/>
  <c r="AS77" i="30"/>
  <c r="AT77" i="30"/>
  <c r="AU77" i="30"/>
  <c r="AV77" i="30"/>
  <c r="AW77" i="30"/>
  <c r="AX77" i="30"/>
  <c r="AY77" i="30"/>
  <c r="AZ77" i="30"/>
  <c r="BA77" i="30"/>
  <c r="BB77" i="30"/>
  <c r="BC77" i="30"/>
  <c r="BD77" i="30"/>
  <c r="BE77" i="30"/>
  <c r="BF77" i="30"/>
  <c r="BG77" i="30"/>
  <c r="BH77" i="30"/>
  <c r="BI77" i="30"/>
  <c r="BJ77" i="30"/>
  <c r="BK77" i="30"/>
  <c r="BL77" i="30"/>
  <c r="BM77" i="30"/>
  <c r="B8" i="30" a="1"/>
  <c r="B8" i="30" s="1"/>
  <c r="K8" i="30" s="1"/>
  <c r="Y27" i="3" l="1"/>
  <c r="AD27" i="3" s="1"/>
  <c r="T74" i="15"/>
  <c r="U74" i="15" s="1"/>
  <c r="V74" i="15" s="1"/>
  <c r="W74" i="15" s="1"/>
  <c r="X74" i="15" s="1"/>
  <c r="Y74" i="15" s="1"/>
  <c r="Z74" i="15" s="1"/>
  <c r="AA74" i="15" s="1"/>
  <c r="AB74" i="15" s="1"/>
  <c r="AC74" i="15" s="1"/>
  <c r="AD74" i="15" s="1"/>
  <c r="AE74" i="15" s="1"/>
  <c r="AF74" i="15" s="1"/>
  <c r="AG74" i="15" s="1"/>
  <c r="I73" i="15"/>
  <c r="J73" i="15" s="1"/>
  <c r="K73" i="15" s="1"/>
  <c r="L73" i="15" s="1"/>
  <c r="M73" i="15" s="1"/>
  <c r="N73" i="15" s="1"/>
  <c r="O73" i="15" s="1"/>
  <c r="P73" i="15" s="1"/>
  <c r="Q73" i="15" s="1"/>
  <c r="R73" i="15" s="1"/>
  <c r="F24" i="15" a="1"/>
  <c r="F24" i="15" s="1"/>
  <c r="M75" i="30" s="1"/>
  <c r="F73" i="15" a="1"/>
  <c r="F73" i="15" s="1"/>
  <c r="F62" i="15" a="1"/>
  <c r="F62" i="15" s="1"/>
  <c r="F79" i="15" a="1"/>
  <c r="F79" i="15" s="1"/>
  <c r="L94" i="3" s="1"/>
  <c r="F74" i="15" a="1"/>
  <c r="F74" i="15" s="1"/>
  <c r="K39" i="30"/>
  <c r="K35" i="30"/>
  <c r="K60" i="30"/>
  <c r="K73" i="30"/>
  <c r="K55" i="30"/>
  <c r="B31" i="30"/>
  <c r="K31" i="30" s="1"/>
  <c r="K37" i="30"/>
  <c r="K33" i="30"/>
  <c r="K62" i="30"/>
  <c r="K58" i="30"/>
  <c r="B54" i="30"/>
  <c r="K54" i="30" s="1"/>
  <c r="K56" i="30"/>
  <c r="K38" i="30"/>
  <c r="K34" i="30"/>
  <c r="K59" i="30"/>
  <c r="K50" i="30"/>
  <c r="K36" i="30"/>
  <c r="K32" i="30"/>
  <c r="K61" i="30"/>
  <c r="K57" i="30"/>
  <c r="B3" i="19" a="1"/>
  <c r="B3" i="19" s="1"/>
  <c r="K27" i="30"/>
  <c r="K13" i="30"/>
  <c r="K9" i="30"/>
  <c r="K26" i="30"/>
  <c r="K12" i="30"/>
  <c r="K15" i="30"/>
  <c r="K11" i="30"/>
  <c r="K14" i="30"/>
  <c r="K10" i="30"/>
  <c r="X42" i="3"/>
  <c r="M42" i="3"/>
  <c r="J42" i="3"/>
  <c r="I42" i="3"/>
  <c r="H42" i="3"/>
  <c r="G42" i="3"/>
  <c r="F42" i="3"/>
  <c r="E42" i="3"/>
  <c r="M1" i="30" l="1"/>
  <c r="H2" i="15" s="1" a="1"/>
  <c r="H2" i="15" s="1"/>
  <c r="J60" i="3"/>
  <c r="F26" i="15" a="1"/>
  <c r="F26" i="15" s="1"/>
  <c r="F27" i="15" a="1"/>
  <c r="F27" i="15" s="1"/>
  <c r="F28" i="15" a="1"/>
  <c r="F28" i="15" s="1"/>
  <c r="F29" i="15" a="1"/>
  <c r="F29" i="15" s="1"/>
  <c r="F30" i="15" a="1"/>
  <c r="F30" i="15" s="1"/>
  <c r="F31" i="15" a="1"/>
  <c r="F31" i="15" s="1"/>
  <c r="F32" i="15" a="1"/>
  <c r="F32" i="15" s="1"/>
  <c r="F34" i="15" a="1"/>
  <c r="F34" i="15" s="1"/>
  <c r="F35" i="15" a="1"/>
  <c r="F35" i="15" s="1"/>
  <c r="F36" i="15" a="1"/>
  <c r="F36" i="15" s="1"/>
  <c r="F37" i="15" a="1"/>
  <c r="F37" i="15" s="1"/>
  <c r="F38" i="15" a="1"/>
  <c r="F38" i="15" s="1"/>
  <c r="F39" i="15" a="1"/>
  <c r="F39" i="15" s="1"/>
  <c r="F40" i="15" a="1"/>
  <c r="F40" i="15" s="1"/>
  <c r="F42" i="15" a="1"/>
  <c r="F42" i="15" s="1"/>
  <c r="F43" i="15" a="1"/>
  <c r="F43" i="15" s="1"/>
  <c r="F44" i="15" a="1"/>
  <c r="F44" i="15" s="1"/>
  <c r="F45" i="15" a="1"/>
  <c r="F45" i="15" s="1"/>
  <c r="F46" i="15" a="1"/>
  <c r="F46" i="15" s="1"/>
  <c r="F47" i="15" a="1"/>
  <c r="F47" i="15" s="1"/>
  <c r="F48" i="15" a="1"/>
  <c r="F48" i="15" s="1"/>
  <c r="F50" i="15" a="1"/>
  <c r="F50" i="15" s="1"/>
  <c r="F51" i="15" a="1"/>
  <c r="F51" i="15" s="1"/>
  <c r="F54" i="15" a="1"/>
  <c r="F54" i="15" s="1"/>
  <c r="F57" i="15" a="1"/>
  <c r="F57" i="15" s="1"/>
  <c r="F59" i="15" a="1"/>
  <c r="F59" i="15" s="1"/>
  <c r="F60" i="15" a="1"/>
  <c r="F60" i="15" s="1"/>
  <c r="F63" i="15" a="1"/>
  <c r="F63" i="15" s="1"/>
  <c r="F64" i="15" a="1"/>
  <c r="F64" i="15" s="1"/>
  <c r="F65" i="15" a="1"/>
  <c r="F65" i="15" s="1"/>
  <c r="F66" i="15" a="1"/>
  <c r="F66" i="15" s="1"/>
  <c r="F68" i="15" a="1"/>
  <c r="F68" i="15" s="1"/>
  <c r="F80" i="15" a="1"/>
  <c r="F80" i="15" s="1"/>
  <c r="F81" i="15" a="1"/>
  <c r="F81" i="15" s="1"/>
  <c r="F82" i="15" a="1"/>
  <c r="F82" i="15" s="1"/>
  <c r="F84" i="15" a="1"/>
  <c r="F84" i="15" s="1"/>
  <c r="F85" i="15" a="1"/>
  <c r="F85" i="15" s="1"/>
  <c r="F87" i="15" a="1"/>
  <c r="F87" i="15" s="1"/>
  <c r="F88" i="15" a="1"/>
  <c r="F88" i="15" s="1"/>
  <c r="F89" i="15" a="1"/>
  <c r="F89" i="15" s="1"/>
  <c r="F90" i="15" a="1"/>
  <c r="F90" i="15" s="1"/>
  <c r="F91" i="15" a="1"/>
  <c r="F91" i="15" s="1"/>
  <c r="F15" i="15" a="1"/>
  <c r="F15" i="15" s="1"/>
  <c r="F18" i="15" a="1"/>
  <c r="F18" i="15" s="1"/>
  <c r="F19" i="15" a="1"/>
  <c r="F19" i="15" s="1"/>
  <c r="F20" i="15" a="1"/>
  <c r="F20" i="15" s="1"/>
  <c r="F21" i="15" a="1"/>
  <c r="F21" i="15" s="1"/>
  <c r="F22" i="15" a="1"/>
  <c r="F22" i="15" s="1"/>
  <c r="F23" i="15" a="1"/>
  <c r="F23" i="15" s="1"/>
  <c r="F6" i="15" a="1"/>
  <c r="F6" i="15" s="1"/>
  <c r="D32" i="32" s="1"/>
  <c r="F8" i="15" a="1"/>
  <c r="F8" i="15" s="1"/>
  <c r="F9" i="15" a="1"/>
  <c r="F9" i="15" s="1"/>
  <c r="F10" i="15" a="1"/>
  <c r="F10" i="15" s="1"/>
  <c r="F11" i="15" a="1"/>
  <c r="F11" i="15" s="1"/>
  <c r="F12" i="15" a="1"/>
  <c r="F12" i="15" s="1"/>
  <c r="F13" i="15" a="1"/>
  <c r="F13" i="15" s="1"/>
  <c r="D19" i="32" l="1"/>
  <c r="N43" i="3"/>
  <c r="N44" i="3" s="1"/>
  <c r="V43" i="3"/>
  <c r="V44" i="3" s="1"/>
  <c r="O43" i="3"/>
  <c r="W43" i="3"/>
  <c r="P43" i="3"/>
  <c r="P44" i="3" s="1"/>
  <c r="Q43" i="3"/>
  <c r="Q44" i="3" s="1"/>
  <c r="R43" i="3"/>
  <c r="U43" i="3"/>
  <c r="U44" i="3" s="1"/>
  <c r="S43" i="3"/>
  <c r="T43" i="3"/>
  <c r="H45" i="3"/>
  <c r="T45" i="3"/>
  <c r="W45" i="3"/>
  <c r="O45" i="3"/>
  <c r="P45" i="3"/>
  <c r="R45" i="3"/>
  <c r="S45" i="3"/>
  <c r="U45" i="3"/>
  <c r="N45" i="3"/>
  <c r="V45" i="3"/>
  <c r="Q45" i="3"/>
  <c r="K13" i="3"/>
  <c r="L26" i="3"/>
  <c r="D31" i="32"/>
  <c r="D8" i="32"/>
  <c r="J45" i="3"/>
  <c r="F45" i="3"/>
  <c r="X45" i="3"/>
  <c r="E45" i="3"/>
  <c r="A2" i="30"/>
  <c r="A3" i="30" s="1"/>
  <c r="K45" i="3"/>
  <c r="K46" i="3" s="1"/>
  <c r="G45" i="3"/>
  <c r="M45" i="3"/>
  <c r="M46" i="3" s="1"/>
  <c r="I45" i="3"/>
  <c r="I47" i="3"/>
  <c r="I48" i="3" s="1"/>
  <c r="J43" i="3"/>
  <c r="G43" i="3"/>
  <c r="K44" i="3"/>
  <c r="L41" i="3" s="1"/>
  <c r="X43" i="3"/>
  <c r="I43" i="3"/>
  <c r="F43" i="3"/>
  <c r="M44" i="3"/>
  <c r="H43" i="3"/>
  <c r="E43" i="3"/>
  <c r="G10" i="3"/>
  <c r="H11" i="3"/>
  <c r="B6" i="17"/>
  <c r="AB85" i="3"/>
  <c r="P46" i="3" l="1"/>
  <c r="Q46" i="3"/>
  <c r="U46" i="3"/>
  <c r="T44" i="3"/>
  <c r="T46" i="3"/>
  <c r="S44" i="3"/>
  <c r="S46" i="3"/>
  <c r="R44" i="3"/>
  <c r="R46" i="3"/>
  <c r="V46" i="3"/>
  <c r="W46" i="3"/>
  <c r="W44" i="3"/>
  <c r="N46" i="3"/>
  <c r="O46" i="3"/>
  <c r="O44" i="3"/>
  <c r="L60" i="3"/>
  <c r="L87" i="3" s="1"/>
  <c r="Y26" i="3"/>
  <c r="AD26" i="3" s="1"/>
  <c r="L42" i="3"/>
  <c r="C7" i="30" a="1"/>
  <c r="E46" i="3"/>
  <c r="G44" i="3"/>
  <c r="G46" i="3"/>
  <c r="H44" i="3"/>
  <c r="H46" i="3"/>
  <c r="J44" i="3"/>
  <c r="J46" i="3"/>
  <c r="I44" i="3"/>
  <c r="I46" i="3"/>
  <c r="X44" i="3"/>
  <c r="X46" i="3"/>
  <c r="L44" i="3"/>
  <c r="F44" i="3"/>
  <c r="F46" i="3"/>
  <c r="M3" i="30"/>
  <c r="M2" i="30"/>
  <c r="H3" i="15" s="1" a="1"/>
  <c r="E44" i="3"/>
  <c r="D55" i="15"/>
  <c r="F55" i="15" s="1" a="1"/>
  <c r="F55" i="15" s="1"/>
  <c r="E11" i="17"/>
  <c r="E15" i="17"/>
  <c r="E12" i="17"/>
  <c r="E13" i="17"/>
  <c r="D52" i="15"/>
  <c r="F52" i="15" s="1" a="1"/>
  <c r="F52" i="15" s="1"/>
  <c r="AB87" i="3"/>
  <c r="AB86" i="3"/>
  <c r="V97" i="3" l="1"/>
  <c r="V111" i="3" s="1"/>
  <c r="S97" i="3"/>
  <c r="S111" i="3" s="1"/>
  <c r="U97" i="3"/>
  <c r="U111" i="3" s="1"/>
  <c r="T97" i="3"/>
  <c r="T111" i="3" s="1"/>
  <c r="R97" i="3"/>
  <c r="R111" i="3" s="1"/>
  <c r="P97" i="3"/>
  <c r="P111" i="3" s="1"/>
  <c r="Q97" i="3"/>
  <c r="Q111" i="3" s="1"/>
  <c r="W97" i="3"/>
  <c r="W111" i="3" s="1"/>
  <c r="O97" i="3"/>
  <c r="O111" i="3" s="1"/>
  <c r="N97" i="3"/>
  <c r="N111" i="3" s="1"/>
  <c r="C7" i="30"/>
  <c r="C37" i="30"/>
  <c r="C39" i="30"/>
  <c r="C59" i="30"/>
  <c r="C33" i="30"/>
  <c r="C36" i="30"/>
  <c r="C56" i="30"/>
  <c r="C32" i="30"/>
  <c r="C61" i="30"/>
  <c r="C57" i="30"/>
  <c r="C58" i="30"/>
  <c r="C35" i="30"/>
  <c r="C55" i="30"/>
  <c r="C54" i="30"/>
  <c r="C38" i="30"/>
  <c r="C62" i="30"/>
  <c r="C34" i="30"/>
  <c r="C50" i="30"/>
  <c r="C60" i="30"/>
  <c r="C31" i="30"/>
  <c r="C73" i="30"/>
  <c r="H7" i="30" a="1"/>
  <c r="L45" i="3"/>
  <c r="L46" i="3" s="1"/>
  <c r="I16" i="15"/>
  <c r="Q16" i="15"/>
  <c r="K14" i="15"/>
  <c r="S14" i="15"/>
  <c r="J16" i="15"/>
  <c r="R16" i="15"/>
  <c r="L14" i="15"/>
  <c r="T14" i="15"/>
  <c r="P14" i="15"/>
  <c r="K16" i="15"/>
  <c r="S16" i="15"/>
  <c r="M14" i="15"/>
  <c r="U14" i="15"/>
  <c r="L16" i="15"/>
  <c r="T16" i="15"/>
  <c r="N14" i="15"/>
  <c r="M16" i="15"/>
  <c r="U16" i="15"/>
  <c r="O14" i="15"/>
  <c r="N16" i="15"/>
  <c r="O16" i="15"/>
  <c r="I14" i="15"/>
  <c r="Q14" i="15"/>
  <c r="P16" i="15"/>
  <c r="J14" i="15"/>
  <c r="R14" i="15"/>
  <c r="H3" i="15"/>
  <c r="I7" i="30" a="1"/>
  <c r="I7" i="30" s="1"/>
  <c r="I30" i="30" s="1"/>
  <c r="I53" i="30" s="1"/>
  <c r="M4" i="30"/>
  <c r="E24" i="3"/>
  <c r="H24" i="3"/>
  <c r="H31" i="30" l="1"/>
  <c r="H54" i="30" s="1"/>
  <c r="H34" i="30"/>
  <c r="H57" i="30" s="1"/>
  <c r="H37" i="30"/>
  <c r="H60" i="30" s="1"/>
  <c r="H36" i="30"/>
  <c r="H59" i="30" s="1"/>
  <c r="H32" i="30"/>
  <c r="H55" i="30" s="1"/>
  <c r="H38" i="30"/>
  <c r="H61" i="30" s="1"/>
  <c r="H50" i="30"/>
  <c r="H73" i="30" s="1"/>
  <c r="H7" i="30"/>
  <c r="H30" i="30" s="1"/>
  <c r="H53" i="30" s="1"/>
  <c r="H35" i="30"/>
  <c r="H58" i="30" s="1"/>
  <c r="H33" i="30"/>
  <c r="H56" i="30" s="1"/>
  <c r="H39" i="30"/>
  <c r="H62" i="30" s="1"/>
  <c r="H16" i="15"/>
  <c r="H14" i="15"/>
  <c r="AA14" i="15"/>
  <c r="AB14" i="15"/>
  <c r="AC14" i="15"/>
  <c r="V14" i="15"/>
  <c r="W14" i="15"/>
  <c r="AD14" i="15"/>
  <c r="AE14" i="15"/>
  <c r="X14" i="15"/>
  <c r="Y14" i="15"/>
  <c r="Z14" i="15"/>
  <c r="X16" i="15"/>
  <c r="W16" i="15"/>
  <c r="V16" i="15"/>
  <c r="AB16" i="15"/>
  <c r="AE16" i="15"/>
  <c r="AD16" i="15"/>
  <c r="AC16" i="15"/>
  <c r="AA16" i="15"/>
  <c r="Z16" i="15"/>
  <c r="Y16" i="15"/>
  <c r="I38" i="30"/>
  <c r="I61" i="30" s="1"/>
  <c r="I36" i="30"/>
  <c r="I59" i="30" s="1"/>
  <c r="I34" i="30"/>
  <c r="I57" i="30" s="1"/>
  <c r="I50" i="30"/>
  <c r="I73" i="30" s="1"/>
  <c r="I32" i="30"/>
  <c r="I55" i="30" s="1"/>
  <c r="I31" i="30"/>
  <c r="I54" i="30" s="1"/>
  <c r="I33" i="30"/>
  <c r="I56" i="30" s="1"/>
  <c r="I37" i="30"/>
  <c r="I60" i="30" s="1"/>
  <c r="I39" i="30"/>
  <c r="I62" i="30" s="1"/>
  <c r="I35" i="30"/>
  <c r="I58" i="30" s="1"/>
  <c r="F4" i="19"/>
  <c r="F9" i="19"/>
  <c r="F7" i="19"/>
  <c r="F8" i="19"/>
  <c r="F3" i="19"/>
  <c r="F11" i="19"/>
  <c r="F12" i="19"/>
  <c r="F6" i="19"/>
  <c r="F5" i="19"/>
  <c r="F10" i="19"/>
  <c r="H53" i="15"/>
  <c r="H56" i="15"/>
  <c r="M30" i="30" l="1"/>
  <c r="M53" i="30"/>
  <c r="C10" i="15"/>
  <c r="I53" i="15"/>
  <c r="J53" i="15" s="1"/>
  <c r="K53" i="15" s="1"/>
  <c r="I56" i="15"/>
  <c r="J56" i="15" s="1"/>
  <c r="K56" i="15" s="1"/>
  <c r="L56" i="15" s="1"/>
  <c r="M56" i="15" s="1"/>
  <c r="N56" i="15" s="1"/>
  <c r="O56" i="15" s="1"/>
  <c r="P56" i="15" s="1"/>
  <c r="Q56" i="15" s="1"/>
  <c r="R56" i="15" s="1"/>
  <c r="S56" i="15" s="1"/>
  <c r="T56" i="15" s="1"/>
  <c r="U56" i="15" s="1"/>
  <c r="V56" i="15" s="1"/>
  <c r="W56" i="15" s="1"/>
  <c r="X56" i="15" s="1"/>
  <c r="Y56" i="15" s="1"/>
  <c r="Z56" i="15" s="1"/>
  <c r="AA56" i="15" s="1"/>
  <c r="AB56" i="15" s="1"/>
  <c r="AC56" i="15" s="1"/>
  <c r="AD56" i="15" s="1"/>
  <c r="AE56" i="15" s="1"/>
  <c r="AF56" i="15" s="1"/>
  <c r="AG56" i="15" s="1"/>
  <c r="AH56" i="15" s="1"/>
  <c r="AI56" i="15" s="1"/>
  <c r="AJ56" i="15" s="1"/>
  <c r="AK56" i="15" s="1"/>
  <c r="AL56" i="15" s="1"/>
  <c r="AM56" i="15" s="1"/>
  <c r="AN56" i="15" s="1"/>
  <c r="AO56" i="15" s="1"/>
  <c r="AP56" i="15" s="1"/>
  <c r="AQ56" i="15" s="1"/>
  <c r="AR56" i="15" s="1"/>
  <c r="AS56" i="15" s="1"/>
  <c r="AT56" i="15" s="1"/>
  <c r="AU56" i="15" s="1"/>
  <c r="AV56" i="15" s="1"/>
  <c r="AW56" i="15" s="1"/>
  <c r="AX56" i="15" s="1"/>
  <c r="AY56" i="15" s="1"/>
  <c r="AZ56" i="15" s="1"/>
  <c r="BA56" i="15" s="1"/>
  <c r="BB56" i="15" s="1"/>
  <c r="BC56" i="15" s="1"/>
  <c r="BD56" i="15" s="1"/>
  <c r="BE56" i="15" s="1"/>
  <c r="BF56" i="15" s="1"/>
  <c r="BG56" i="15" s="1"/>
  <c r="BH56" i="15" s="1"/>
  <c r="F56" i="15" l="1" a="1"/>
  <c r="F56" i="15" s="1"/>
  <c r="L53" i="15"/>
  <c r="M53" i="15" s="1"/>
  <c r="N53" i="15" s="1"/>
  <c r="O53" i="15" s="1"/>
  <c r="P53" i="15" s="1"/>
  <c r="Q53" i="15" s="1"/>
  <c r="R53" i="15" s="1"/>
  <c r="Y67" i="3"/>
  <c r="S53" i="15" l="1"/>
  <c r="T53" i="15" s="1"/>
  <c r="U53" i="15" s="1"/>
  <c r="V53" i="15" s="1"/>
  <c r="W53" i="15" s="1"/>
  <c r="AD67" i="3"/>
  <c r="X53" i="15" l="1"/>
  <c r="Y53" i="15" s="1"/>
  <c r="Z53" i="15" s="1"/>
  <c r="AA53" i="15" s="1"/>
  <c r="AB53" i="15" s="1"/>
  <c r="AC53" i="15" s="1"/>
  <c r="AD53" i="15" s="1"/>
  <c r="AE53" i="15" s="1"/>
  <c r="AF53" i="15" s="1"/>
  <c r="AG53" i="15" s="1"/>
  <c r="AH53" i="15" s="1"/>
  <c r="AI53" i="15" s="1"/>
  <c r="AJ53" i="15" s="1"/>
  <c r="AK53" i="15" s="1"/>
  <c r="AL53" i="15" s="1"/>
  <c r="AM53" i="15" s="1"/>
  <c r="AN53" i="15" s="1"/>
  <c r="AO53" i="15" s="1"/>
  <c r="AP53" i="15" s="1"/>
  <c r="AQ53" i="15" s="1"/>
  <c r="AR53" i="15" s="1"/>
  <c r="AS53" i="15" s="1"/>
  <c r="AT53" i="15" s="1"/>
  <c r="AU53" i="15" s="1"/>
  <c r="AV53" i="15" s="1"/>
  <c r="AW53" i="15" s="1"/>
  <c r="AX53" i="15" s="1"/>
  <c r="AY53" i="15" s="1"/>
  <c r="AZ53" i="15" s="1"/>
  <c r="BA53" i="15" s="1"/>
  <c r="BB53" i="15" s="1"/>
  <c r="BC53" i="15" s="1"/>
  <c r="BD53" i="15" s="1"/>
  <c r="BE53" i="15" s="1"/>
  <c r="BF53" i="15" s="1"/>
  <c r="BG53" i="15" s="1"/>
  <c r="BH53" i="15" s="1"/>
  <c r="F53" i="15" a="1"/>
  <c r="F53" i="15" s="1"/>
  <c r="AB90" i="3"/>
  <c r="K94" i="3"/>
  <c r="I12" i="3"/>
  <c r="I24" i="3" s="1"/>
  <c r="G24" i="3"/>
  <c r="H47" i="3" l="1"/>
  <c r="G47" i="3"/>
  <c r="G48" i="3" s="1"/>
  <c r="K60" i="3"/>
  <c r="K87" i="3" s="1"/>
  <c r="F14" i="15" a="1"/>
  <c r="F14" i="15" s="1"/>
  <c r="F16" i="15" a="1"/>
  <c r="F16" i="15" s="1"/>
  <c r="H75" i="3"/>
  <c r="Y14" i="3"/>
  <c r="D16" i="17"/>
  <c r="E16" i="17" s="1"/>
  <c r="L107" i="3"/>
  <c r="Y77" i="3"/>
  <c r="Y55" i="3"/>
  <c r="F35" i="7"/>
  <c r="F36" i="7"/>
  <c r="F37" i="7"/>
  <c r="F38" i="7"/>
  <c r="F39" i="7"/>
  <c r="H48" i="3" l="1"/>
  <c r="H92" i="3" s="1"/>
  <c r="Y25" i="3"/>
  <c r="Y24" i="3"/>
  <c r="Y15" i="3"/>
  <c r="Y20" i="3"/>
  <c r="Y17" i="3"/>
  <c r="Y18" i="3"/>
  <c r="Y7" i="3"/>
  <c r="Y16" i="3"/>
  <c r="Y10" i="3"/>
  <c r="Y12" i="3"/>
  <c r="Y13" i="3"/>
  <c r="Y23" i="3"/>
  <c r="Y11" i="3"/>
  <c r="AD11" i="3" s="1"/>
  <c r="Y6" i="3"/>
  <c r="Y22" i="3"/>
  <c r="Y28" i="3"/>
  <c r="Y19" i="3"/>
  <c r="H31" i="3"/>
  <c r="H107" i="3"/>
  <c r="H30" i="3"/>
  <c r="AC24" i="3"/>
  <c r="H62" i="3" l="1"/>
  <c r="H61" i="3"/>
  <c r="H87" i="3"/>
  <c r="H63" i="3"/>
  <c r="H64" i="3"/>
  <c r="H60" i="3"/>
  <c r="H86" i="3"/>
  <c r="H89" i="3"/>
  <c r="H85" i="3"/>
  <c r="H90" i="3"/>
  <c r="H88" i="3"/>
  <c r="H91" i="3"/>
  <c r="H65" i="3"/>
  <c r="AD24" i="3"/>
  <c r="H96" i="3" l="1"/>
  <c r="H70" i="3"/>
  <c r="H69" i="3"/>
  <c r="H71" i="3"/>
  <c r="H97" i="3"/>
  <c r="C61" i="3"/>
  <c r="C62" i="3"/>
  <c r="C63" i="3"/>
  <c r="C64" i="3"/>
  <c r="C65" i="3"/>
  <c r="C60" i="3"/>
  <c r="AC90" i="3"/>
  <c r="E66" i="3"/>
  <c r="J66" i="3"/>
  <c r="K66" i="3"/>
  <c r="I66" i="3"/>
  <c r="G66" i="3"/>
  <c r="AC87" i="3"/>
  <c r="AC86" i="3"/>
  <c r="AC85" i="3"/>
  <c r="R99" i="3" l="1"/>
  <c r="R100" i="3" s="1"/>
  <c r="R112" i="3" s="1"/>
  <c r="S99" i="3"/>
  <c r="S100" i="3" s="1"/>
  <c r="S112" i="3" s="1"/>
  <c r="T99" i="3"/>
  <c r="T100" i="3" s="1"/>
  <c r="T112" i="3" s="1"/>
  <c r="U99" i="3"/>
  <c r="U100" i="3" s="1"/>
  <c r="U112" i="3" s="1"/>
  <c r="W99" i="3"/>
  <c r="W100" i="3" s="1"/>
  <c r="W112" i="3" s="1"/>
  <c r="N99" i="3"/>
  <c r="N100" i="3" s="1"/>
  <c r="N112" i="3" s="1"/>
  <c r="V99" i="3"/>
  <c r="V100" i="3" s="1"/>
  <c r="V112" i="3" s="1"/>
  <c r="O99" i="3"/>
  <c r="O100" i="3" s="1"/>
  <c r="O112" i="3" s="1"/>
  <c r="P99" i="3"/>
  <c r="P100" i="3" s="1"/>
  <c r="P112" i="3" s="1"/>
  <c r="Q99" i="3"/>
  <c r="Q100" i="3" s="1"/>
  <c r="Q112" i="3" s="1"/>
  <c r="H110" i="3"/>
  <c r="H111" i="3"/>
  <c r="Y66" i="3"/>
  <c r="AD66" i="3" s="1"/>
  <c r="H99" i="3"/>
  <c r="AC25" i="3"/>
  <c r="R33" i="3" l="1"/>
  <c r="P33" i="3"/>
  <c r="S33" i="3"/>
  <c r="Q33" i="3"/>
  <c r="T33" i="3"/>
  <c r="U33" i="3"/>
  <c r="N33" i="3"/>
  <c r="V33" i="3"/>
  <c r="O33" i="3"/>
  <c r="W33" i="3"/>
  <c r="H33" i="3"/>
  <c r="L33" i="3"/>
  <c r="X71" i="3"/>
  <c r="X70" i="3"/>
  <c r="X69" i="3"/>
  <c r="F33" i="3"/>
  <c r="G33" i="3"/>
  <c r="I33" i="3"/>
  <c r="K33" i="3"/>
  <c r="J33" i="3"/>
  <c r="M33" i="3"/>
  <c r="X33" i="3"/>
  <c r="E33" i="3"/>
  <c r="F31" i="3"/>
  <c r="L31" i="3"/>
  <c r="G31" i="3"/>
  <c r="I31" i="3"/>
  <c r="K31" i="3"/>
  <c r="J31" i="3"/>
  <c r="M31" i="3"/>
  <c r="X31" i="3"/>
  <c r="L30" i="3"/>
  <c r="G30" i="3"/>
  <c r="I30" i="3"/>
  <c r="K30" i="3"/>
  <c r="J30" i="3"/>
  <c r="M30" i="3"/>
  <c r="X30" i="3"/>
  <c r="I107" i="3"/>
  <c r="K107" i="3"/>
  <c r="J107" i="3"/>
  <c r="M107" i="3"/>
  <c r="X107" i="3"/>
  <c r="C86" i="3"/>
  <c r="C87" i="3"/>
  <c r="C88" i="3"/>
  <c r="C89" i="3"/>
  <c r="C90" i="3"/>
  <c r="C91" i="3"/>
  <c r="C92" i="3"/>
  <c r="Y94" i="3"/>
  <c r="AD94" i="3" s="1"/>
  <c r="J80" i="3"/>
  <c r="I76" i="3"/>
  <c r="Y76" i="3" s="1"/>
  <c r="C85" i="3"/>
  <c r="AD25" i="3"/>
  <c r="AD23" i="3"/>
  <c r="F107" i="3" l="1"/>
  <c r="AC15" i="3"/>
  <c r="AC13" i="3"/>
  <c r="AC12" i="3"/>
  <c r="T32" i="3" l="1"/>
  <c r="T34" i="3" s="1"/>
  <c r="U32" i="3"/>
  <c r="U34" i="3" s="1"/>
  <c r="N32" i="3"/>
  <c r="N34" i="3" s="1"/>
  <c r="V32" i="3"/>
  <c r="V34" i="3" s="1"/>
  <c r="O32" i="3"/>
  <c r="O34" i="3" s="1"/>
  <c r="W32" i="3"/>
  <c r="W34" i="3" s="1"/>
  <c r="P32" i="3"/>
  <c r="P34" i="3" s="1"/>
  <c r="Q32" i="3"/>
  <c r="Q34" i="3" s="1"/>
  <c r="R32" i="3"/>
  <c r="R34" i="3" s="1"/>
  <c r="S32" i="3"/>
  <c r="S34" i="3" s="1"/>
  <c r="L32" i="3"/>
  <c r="L34" i="3" s="1"/>
  <c r="I32" i="3"/>
  <c r="H32" i="3"/>
  <c r="E32" i="3"/>
  <c r="G32" i="3"/>
  <c r="J32" i="3"/>
  <c r="M32" i="3"/>
  <c r="K32" i="3"/>
  <c r="X32" i="3"/>
  <c r="F32" i="3"/>
  <c r="AD7" i="3"/>
  <c r="AD10" i="3"/>
  <c r="AD12" i="3"/>
  <c r="AD13" i="3"/>
  <c r="AD14" i="3"/>
  <c r="AD15" i="3"/>
  <c r="AD16" i="3"/>
  <c r="AD17" i="3"/>
  <c r="AD18" i="3"/>
  <c r="AD19" i="3"/>
  <c r="AD20" i="3"/>
  <c r="AD6" i="3"/>
  <c r="D35" i="3"/>
  <c r="G75" i="3"/>
  <c r="Y3" i="3"/>
  <c r="R35" i="3" l="1"/>
  <c r="R36" i="3" s="1"/>
  <c r="Q35" i="3"/>
  <c r="Q36" i="3" s="1"/>
  <c r="P35" i="3"/>
  <c r="P36" i="3" s="1"/>
  <c r="V35" i="3"/>
  <c r="V36" i="3" s="1"/>
  <c r="T35" i="3"/>
  <c r="T36" i="3" s="1"/>
  <c r="W35" i="3"/>
  <c r="W36" i="3" s="1"/>
  <c r="O35" i="3"/>
  <c r="O36" i="3" s="1"/>
  <c r="S35" i="3"/>
  <c r="S36" i="3" s="1"/>
  <c r="N35" i="3"/>
  <c r="N36" i="3" s="1"/>
  <c r="U35" i="3"/>
  <c r="U36" i="3" s="1"/>
  <c r="L36" i="3"/>
  <c r="C23" i="19"/>
  <c r="D3" i="19" a="1"/>
  <c r="D3" i="19" s="1"/>
  <c r="D23" i="19" s="1"/>
  <c r="H34" i="3"/>
  <c r="H35" i="3" s="1"/>
  <c r="H36" i="3" s="1"/>
  <c r="G107" i="3"/>
  <c r="E107" i="3"/>
  <c r="S113" i="3" l="1"/>
  <c r="S114" i="3"/>
  <c r="O113" i="3"/>
  <c r="O114" i="3"/>
  <c r="W113" i="3"/>
  <c r="W114" i="3"/>
  <c r="Q113" i="3"/>
  <c r="Q114" i="3"/>
  <c r="T113" i="3"/>
  <c r="T114" i="3"/>
  <c r="V113" i="3"/>
  <c r="V114" i="3"/>
  <c r="P113" i="3"/>
  <c r="P114" i="3"/>
  <c r="U113" i="3"/>
  <c r="U114" i="3"/>
  <c r="N113" i="3"/>
  <c r="N114" i="3"/>
  <c r="R113" i="3"/>
  <c r="R114" i="3"/>
  <c r="F7" i="30" a="1"/>
  <c r="F7" i="30" s="1"/>
  <c r="H113" i="3"/>
  <c r="H100" i="3"/>
  <c r="M7" i="30" l="1"/>
  <c r="H112" i="3"/>
  <c r="H114" i="3" s="1"/>
  <c r="E31" i="3"/>
  <c r="E30" i="30" s="1" a="1"/>
  <c r="E30" i="3"/>
  <c r="E30" i="30" l="1"/>
  <c r="M29" i="30"/>
  <c r="Y30" i="3"/>
  <c r="E53" i="30" a="1"/>
  <c r="I85" i="3"/>
  <c r="I86" i="3"/>
  <c r="I87" i="3"/>
  <c r="I88" i="3"/>
  <c r="I89" i="3"/>
  <c r="I90" i="3"/>
  <c r="I91" i="3"/>
  <c r="I92" i="3"/>
  <c r="I61" i="3"/>
  <c r="E53" i="30" l="1"/>
  <c r="M52" i="30"/>
  <c r="I96" i="3"/>
  <c r="I99" i="3"/>
  <c r="I97" i="3"/>
  <c r="M85" i="3" l="1"/>
  <c r="M86" i="3"/>
  <c r="M87" i="3"/>
  <c r="M88" i="3"/>
  <c r="M89" i="3"/>
  <c r="M90" i="3"/>
  <c r="M91" i="3"/>
  <c r="M92" i="3"/>
  <c r="X96" i="3" l="1"/>
  <c r="X110" i="3" s="1"/>
  <c r="X97" i="3"/>
  <c r="X99" i="3"/>
  <c r="X111" i="3" l="1"/>
  <c r="F85" i="3"/>
  <c r="F86" i="3"/>
  <c r="F87" i="3"/>
  <c r="F88" i="3"/>
  <c r="F89" i="3"/>
  <c r="F90" i="3"/>
  <c r="F91" i="3"/>
  <c r="F92" i="3"/>
  <c r="F60" i="3"/>
  <c r="F63" i="3"/>
  <c r="F65" i="3"/>
  <c r="F61" i="3"/>
  <c r="F62" i="3"/>
  <c r="F64" i="3"/>
  <c r="F70" i="3" l="1"/>
  <c r="F71" i="3"/>
  <c r="F69" i="3"/>
  <c r="F99" i="3"/>
  <c r="F96" i="3"/>
  <c r="F97" i="3"/>
  <c r="I60" i="3"/>
  <c r="I62" i="3"/>
  <c r="I63" i="3"/>
  <c r="I64" i="3"/>
  <c r="I65" i="3"/>
  <c r="F110" i="3" l="1"/>
  <c r="I71" i="3"/>
  <c r="I70" i="3"/>
  <c r="I69" i="3"/>
  <c r="I110" i="3" s="1"/>
  <c r="X100" i="3"/>
  <c r="I100" i="3"/>
  <c r="X112" i="3" l="1"/>
  <c r="Y103" i="3" l="1"/>
  <c r="F16" i="7"/>
  <c r="F17" i="7"/>
  <c r="F18" i="7"/>
  <c r="F19" i="7"/>
  <c r="F20" i="7"/>
  <c r="F15" i="7"/>
  <c r="F31" i="7"/>
  <c r="F34" i="7"/>
  <c r="F40" i="7" s="1"/>
  <c r="F12" i="7"/>
  <c r="F41" i="7" l="1"/>
  <c r="F21" i="7"/>
  <c r="F22" i="7" s="1"/>
  <c r="F43" i="7" s="1"/>
  <c r="Y78" i="3"/>
  <c r="Y79" i="3"/>
  <c r="Y80" i="3"/>
  <c r="Y81" i="3"/>
  <c r="Y82" i="3"/>
  <c r="Y83" i="3"/>
  <c r="Y56" i="3"/>
  <c r="Y57" i="3"/>
  <c r="Y58" i="3"/>
  <c r="Y75" i="3"/>
  <c r="Y53" i="3" l="1"/>
  <c r="I112" i="3" l="1"/>
  <c r="K90" i="3" l="1"/>
  <c r="K85" i="3"/>
  <c r="K88" i="3"/>
  <c r="K92" i="3"/>
  <c r="K86" i="3"/>
  <c r="K91" i="3"/>
  <c r="K89" i="3"/>
  <c r="E90" i="3"/>
  <c r="E86" i="3"/>
  <c r="E87" i="3"/>
  <c r="E88" i="3"/>
  <c r="E89" i="3"/>
  <c r="E91" i="3"/>
  <c r="E92" i="3"/>
  <c r="E63" i="3"/>
  <c r="E85" i="3"/>
  <c r="K93" i="3"/>
  <c r="K65" i="3"/>
  <c r="E93" i="3"/>
  <c r="E65" i="3"/>
  <c r="K61" i="3"/>
  <c r="K63" i="3"/>
  <c r="K64" i="3"/>
  <c r="E64" i="3"/>
  <c r="E61" i="3"/>
  <c r="E62" i="3"/>
  <c r="E60" i="3"/>
  <c r="K97" i="3" l="1"/>
  <c r="K99" i="3"/>
  <c r="K100" i="3" s="1"/>
  <c r="K96" i="3"/>
  <c r="K69" i="3"/>
  <c r="K70" i="3"/>
  <c r="K71" i="3"/>
  <c r="E96" i="3"/>
  <c r="E97" i="3"/>
  <c r="E99" i="3"/>
  <c r="Y52" i="3"/>
  <c r="K110" i="3" l="1"/>
  <c r="J85" i="3"/>
  <c r="J86" i="3"/>
  <c r="J87" i="3"/>
  <c r="J88" i="3"/>
  <c r="J89" i="3"/>
  <c r="J90" i="3"/>
  <c r="J91" i="3"/>
  <c r="J92" i="3"/>
  <c r="G85" i="3"/>
  <c r="G86" i="3"/>
  <c r="G87" i="3"/>
  <c r="G88" i="3"/>
  <c r="G89" i="3"/>
  <c r="G90" i="3"/>
  <c r="G91" i="3"/>
  <c r="G92" i="3"/>
  <c r="G61" i="3"/>
  <c r="G63" i="3"/>
  <c r="G62" i="3"/>
  <c r="G64" i="3"/>
  <c r="G65" i="3"/>
  <c r="J93" i="3"/>
  <c r="J65" i="3"/>
  <c r="M65" i="3"/>
  <c r="M93" i="3"/>
  <c r="G93" i="3"/>
  <c r="G60" i="3"/>
  <c r="J61" i="3"/>
  <c r="J63" i="3"/>
  <c r="J64" i="3"/>
  <c r="M60" i="3"/>
  <c r="M61" i="3"/>
  <c r="M62" i="3"/>
  <c r="M64" i="3"/>
  <c r="M63" i="3"/>
  <c r="Y54" i="3"/>
  <c r="J97" i="3" l="1"/>
  <c r="G96" i="3"/>
  <c r="M71" i="3"/>
  <c r="M69" i="3"/>
  <c r="M70" i="3"/>
  <c r="M97" i="3"/>
  <c r="M99" i="3"/>
  <c r="M96" i="3"/>
  <c r="J96" i="3"/>
  <c r="J99" i="3"/>
  <c r="G69" i="3"/>
  <c r="G70" i="3"/>
  <c r="G71" i="3"/>
  <c r="G99" i="3"/>
  <c r="G97" i="3"/>
  <c r="J62" i="3"/>
  <c r="J71" i="3" s="1"/>
  <c r="M110" i="3" l="1"/>
  <c r="G110" i="3"/>
  <c r="M111" i="3"/>
  <c r="J69" i="3"/>
  <c r="J110" i="3" s="1"/>
  <c r="J70" i="3"/>
  <c r="J111" i="3" s="1"/>
  <c r="M100" i="3"/>
  <c r="E100" i="3"/>
  <c r="K112" i="3"/>
  <c r="F100" i="3"/>
  <c r="G100" i="3"/>
  <c r="J100" i="3"/>
  <c r="I111" i="3"/>
  <c r="F111" i="3"/>
  <c r="G111" i="3"/>
  <c r="K111" i="3"/>
  <c r="Y105" i="3"/>
  <c r="G112" i="3" l="1"/>
  <c r="M112" i="3"/>
  <c r="J112" i="3"/>
  <c r="F112" i="3"/>
  <c r="Y106" i="3"/>
  <c r="Y104" i="3"/>
  <c r="Y107" i="3"/>
  <c r="L85" i="3" l="1"/>
  <c r="Y85" i="3" s="1"/>
  <c r="L86" i="3"/>
  <c r="Y86" i="3" s="1"/>
  <c r="AD86" i="3" s="1"/>
  <c r="Y87" i="3"/>
  <c r="AD87" i="3" s="1"/>
  <c r="L88" i="3"/>
  <c r="Y88" i="3" s="1"/>
  <c r="AD88" i="3" s="1"/>
  <c r="L89" i="3"/>
  <c r="Y89" i="3" s="1"/>
  <c r="AD89" i="3" s="1"/>
  <c r="L90" i="3"/>
  <c r="Y90" i="3" s="1"/>
  <c r="AD90" i="3" s="1"/>
  <c r="L91" i="3"/>
  <c r="Y91" i="3" s="1"/>
  <c r="AD91" i="3" s="1"/>
  <c r="L92" i="3"/>
  <c r="Y92" i="3" s="1"/>
  <c r="AD92" i="3" s="1"/>
  <c r="Y60" i="3"/>
  <c r="AD60" i="3" s="1"/>
  <c r="L61" i="3"/>
  <c r="Y61" i="3" s="1"/>
  <c r="AD61" i="3" s="1"/>
  <c r="Y63" i="3"/>
  <c r="AD63" i="3" s="1"/>
  <c r="L65" i="3"/>
  <c r="Y65" i="3" s="1"/>
  <c r="AD65" i="3" s="1"/>
  <c r="L93" i="3"/>
  <c r="Y93" i="3" s="1"/>
  <c r="AD93" i="3" s="1"/>
  <c r="L64" i="3"/>
  <c r="Y64" i="3" s="1"/>
  <c r="AD64" i="3" s="1"/>
  <c r="L62" i="3"/>
  <c r="Y62" i="3" s="1"/>
  <c r="AD62" i="3" s="1"/>
  <c r="L70" i="3" l="1"/>
  <c r="L71" i="3"/>
  <c r="L69" i="3"/>
  <c r="L97" i="3"/>
  <c r="L99" i="3"/>
  <c r="Y99" i="3" s="1"/>
  <c r="L96" i="3"/>
  <c r="AD85" i="3"/>
  <c r="L110" i="3" l="1"/>
  <c r="L100" i="3"/>
  <c r="L112" i="3" s="1"/>
  <c r="Y32" i="3"/>
  <c r="Y96" i="3"/>
  <c r="AD96" i="3" s="1"/>
  <c r="L111" i="3"/>
  <c r="Y97" i="3"/>
  <c r="AD97" i="3" s="1"/>
  <c r="U37" i="3" l="1"/>
  <c r="N37" i="3"/>
  <c r="V37" i="3"/>
  <c r="R37" i="3"/>
  <c r="O37" i="3"/>
  <c r="W37" i="3"/>
  <c r="P37" i="3"/>
  <c r="Q37" i="3"/>
  <c r="T37" i="3"/>
  <c r="S37" i="3"/>
  <c r="D15" i="32"/>
  <c r="L37" i="3"/>
  <c r="M51" i="30"/>
  <c r="F37" i="3"/>
  <c r="X37" i="3"/>
  <c r="M37" i="3"/>
  <c r="K37" i="3"/>
  <c r="E37" i="3"/>
  <c r="J37" i="3"/>
  <c r="G37" i="3"/>
  <c r="H37" i="3"/>
  <c r="I37" i="3"/>
  <c r="B4" i="17"/>
  <c r="B5" i="17" s="1"/>
  <c r="Y98" i="3"/>
  <c r="AD98" i="3" s="1"/>
  <c r="Y37" i="3" l="1"/>
  <c r="D7" i="15"/>
  <c r="F7" i="15" s="1" a="1"/>
  <c r="F7" i="15" s="1"/>
  <c r="Y38" i="3" s="1"/>
  <c r="Y100" i="3"/>
  <c r="Q38" i="3" l="1"/>
  <c r="S38" i="3"/>
  <c r="W38" i="3"/>
  <c r="P38" i="3"/>
  <c r="T38" i="3"/>
  <c r="O38" i="3"/>
  <c r="U38" i="3"/>
  <c r="N38" i="3"/>
  <c r="V38" i="3"/>
  <c r="R38" i="3"/>
  <c r="F38" i="3"/>
  <c r="I38" i="3"/>
  <c r="X38" i="3"/>
  <c r="L38" i="3"/>
  <c r="K38" i="3"/>
  <c r="E38" i="3"/>
  <c r="M38" i="3"/>
  <c r="G38" i="3"/>
  <c r="J38" i="3"/>
  <c r="H38" i="3"/>
  <c r="AD22" i="3"/>
  <c r="D7" i="30" l="1" a="1"/>
  <c r="D7" i="30" s="1"/>
  <c r="E3" i="19" a="1"/>
  <c r="E3" i="19" s="1"/>
  <c r="E23" i="19" s="1"/>
  <c r="E34" i="3"/>
  <c r="E35" i="3" l="1"/>
  <c r="E36" i="3" l="1"/>
  <c r="E113" i="3" l="1"/>
  <c r="X34" i="3"/>
  <c r="M34" i="3"/>
  <c r="J34" i="3"/>
  <c r="F34" i="3" l="1"/>
  <c r="F35" i="3" s="1"/>
  <c r="J35" i="3"/>
  <c r="J36" i="3" s="1"/>
  <c r="X35" i="3"/>
  <c r="X36" i="3" s="1"/>
  <c r="K34" i="3"/>
  <c r="M36" i="3"/>
  <c r="G34" i="3"/>
  <c r="I34" i="3"/>
  <c r="M113" i="3" l="1"/>
  <c r="J114" i="3"/>
  <c r="J113" i="3"/>
  <c r="M114" i="3"/>
  <c r="X114" i="3"/>
  <c r="X113" i="3"/>
  <c r="Y31" i="3"/>
  <c r="Y33" i="3"/>
  <c r="G35" i="3"/>
  <c r="G36" i="3" s="1"/>
  <c r="K36" i="3"/>
  <c r="Y34" i="3"/>
  <c r="F36" i="3"/>
  <c r="I35" i="3"/>
  <c r="I36" i="3" s="1"/>
  <c r="E7" i="30" l="1" a="1"/>
  <c r="M6" i="30" s="1"/>
  <c r="K114" i="3"/>
  <c r="K113" i="3"/>
  <c r="F114" i="3"/>
  <c r="F113" i="3"/>
  <c r="L114" i="3"/>
  <c r="L113" i="3"/>
  <c r="G114" i="3"/>
  <c r="G113" i="3"/>
  <c r="I114" i="3"/>
  <c r="I113" i="3"/>
  <c r="Y35" i="3"/>
  <c r="Y36" i="3"/>
  <c r="D14" i="32" s="1"/>
  <c r="E7" i="30" l="1"/>
  <c r="B3" i="17"/>
  <c r="C10" i="17" s="1"/>
  <c r="Y113" i="3"/>
  <c r="B7" i="17" l="1"/>
  <c r="C11" i="17"/>
  <c r="E69" i="3"/>
  <c r="E110" i="3" s="1"/>
  <c r="E71" i="3"/>
  <c r="E112" i="3" s="1"/>
  <c r="E70" i="3"/>
  <c r="C13" i="17"/>
  <c r="C8" i="17"/>
  <c r="C12" i="17"/>
  <c r="C9" i="17"/>
  <c r="C14" i="17"/>
  <c r="B19" i="17" l="1"/>
  <c r="C19" i="17" s="1"/>
  <c r="D5" i="32" s="1"/>
  <c r="D3" i="32"/>
  <c r="D4" i="32"/>
  <c r="D16" i="32"/>
  <c r="Y110" i="3"/>
  <c r="D20" i="32" s="1"/>
  <c r="G53" i="30" a="1"/>
  <c r="G7" i="30" a="1"/>
  <c r="E114" i="3"/>
  <c r="B18" i="17"/>
  <c r="C18" i="17" s="1"/>
  <c r="C7" i="17"/>
  <c r="Y70" i="3"/>
  <c r="E111" i="3"/>
  <c r="G30" i="30" s="1" a="1"/>
  <c r="Y71" i="3"/>
  <c r="Y69" i="3"/>
  <c r="G30" i="30" l="1"/>
  <c r="M46" i="30"/>
  <c r="M42" i="30"/>
  <c r="M37" i="30"/>
  <c r="M39" i="30"/>
  <c r="M44" i="30"/>
  <c r="M49" i="30"/>
  <c r="M50" i="30"/>
  <c r="M43" i="30"/>
  <c r="M33" i="30"/>
  <c r="M41" i="30"/>
  <c r="M31" i="30"/>
  <c r="M40" i="30"/>
  <c r="M34" i="30"/>
  <c r="M48" i="30"/>
  <c r="M38" i="30"/>
  <c r="M45" i="30"/>
  <c r="M36" i="30"/>
  <c r="M47" i="30"/>
  <c r="M32" i="30"/>
  <c r="M35" i="30"/>
  <c r="M69" i="30"/>
  <c r="M68" i="30"/>
  <c r="M65" i="30"/>
  <c r="M66" i="30"/>
  <c r="M64" i="30"/>
  <c r="M70" i="30"/>
  <c r="M72" i="30"/>
  <c r="M67" i="30"/>
  <c r="M71" i="30"/>
  <c r="M63" i="30"/>
  <c r="M23" i="30"/>
  <c r="M21" i="30"/>
  <c r="M20" i="30"/>
  <c r="M18" i="30"/>
  <c r="M17" i="30"/>
  <c r="M25" i="30"/>
  <c r="M22" i="30"/>
  <c r="M19" i="30"/>
  <c r="M16" i="30"/>
  <c r="M24" i="30"/>
  <c r="M28" i="30"/>
  <c r="D18" i="32" a="1"/>
  <c r="D18" i="32" s="1"/>
  <c r="D17" i="32"/>
  <c r="M11" i="30"/>
  <c r="G53" i="30"/>
  <c r="M54" i="30"/>
  <c r="M61" i="30"/>
  <c r="M60" i="30"/>
  <c r="M58" i="30"/>
  <c r="M56" i="30"/>
  <c r="M59" i="30"/>
  <c r="M62" i="30"/>
  <c r="M73" i="30"/>
  <c r="M57" i="30"/>
  <c r="M55" i="30"/>
  <c r="M13" i="30"/>
  <c r="M10" i="30"/>
  <c r="M26" i="30"/>
  <c r="M27" i="30"/>
  <c r="M14" i="30"/>
  <c r="M15" i="30"/>
  <c r="M12" i="30"/>
  <c r="M8" i="30"/>
  <c r="M9" i="30"/>
  <c r="G7" i="30"/>
  <c r="Y111" i="3"/>
  <c r="D22" i="32" s="1"/>
  <c r="Y112" i="3"/>
  <c r="M81" i="30" l="1"/>
  <c r="D26" i="32"/>
  <c r="M86" i="30"/>
  <c r="M87" i="30" s="1"/>
  <c r="D21" i="32" s="1"/>
  <c r="M76" i="30"/>
  <c r="Y114" i="3"/>
  <c r="M84" i="30" l="1"/>
  <c r="D25" i="32" s="1"/>
  <c r="M83" i="30"/>
  <c r="D24" i="32" s="1"/>
  <c r="M82" i="30"/>
  <c r="D23" i="32" s="1"/>
  <c r="D33" i="32"/>
  <c r="D29" i="32"/>
  <c r="M5" i="30"/>
  <c r="D7" i="32" s="1"/>
  <c r="D11" i="32" l="1"/>
  <c r="D28" i="32"/>
  <c r="D27" i="32"/>
  <c r="D10" i="32"/>
  <c r="M77" i="30"/>
  <c r="D34" i="32" l="1"/>
  <c r="D30" i="32"/>
  <c r="M78" i="30"/>
  <c r="M79" i="30"/>
  <c r="B16" i="17"/>
  <c r="D9" i="32" l="1"/>
  <c r="N79" i="30"/>
  <c r="O79" i="30" s="1"/>
  <c r="P79" i="30" s="1"/>
  <c r="Q79" i="30" s="1"/>
  <c r="R79" i="30" s="1"/>
  <c r="S79" i="30" s="1"/>
  <c r="T79" i="30" s="1"/>
  <c r="U79" i="30" s="1"/>
  <c r="V79" i="30" s="1"/>
  <c r="W79" i="30" s="1"/>
  <c r="X79" i="30" s="1"/>
  <c r="Y79" i="30" s="1"/>
  <c r="Z79" i="30" s="1"/>
  <c r="AA79" i="30" s="1"/>
  <c r="AB79" i="30" s="1"/>
  <c r="AC79" i="30" s="1"/>
  <c r="AD79" i="30" s="1"/>
  <c r="AE79" i="30" s="1"/>
  <c r="AF79" i="30" s="1"/>
  <c r="AG79" i="30" s="1"/>
  <c r="AH79" i="30" s="1"/>
  <c r="AI79" i="30" s="1"/>
  <c r="AJ79" i="30" s="1"/>
  <c r="AK79" i="30" s="1"/>
  <c r="AL79" i="30" s="1"/>
  <c r="AM79" i="30" s="1"/>
  <c r="AN79" i="30" s="1"/>
  <c r="AO79" i="30" s="1"/>
  <c r="AP79" i="30" s="1"/>
  <c r="AQ79" i="30" s="1"/>
  <c r="AR79" i="30" s="1"/>
  <c r="AS79" i="30" s="1"/>
  <c r="AT79" i="30" s="1"/>
  <c r="AU79" i="30" s="1"/>
  <c r="AV79" i="30" s="1"/>
  <c r="AW79" i="30" s="1"/>
  <c r="AX79" i="30" s="1"/>
  <c r="AY79" i="30" s="1"/>
  <c r="AZ79" i="30" s="1"/>
  <c r="BA79" i="30" s="1"/>
  <c r="BB79" i="30" s="1"/>
  <c r="BC79" i="30" s="1"/>
  <c r="BD79" i="30" s="1"/>
  <c r="BE79" i="30" s="1"/>
  <c r="BF79" i="30" s="1"/>
  <c r="BG79" i="30" s="1"/>
  <c r="BH79" i="30" s="1"/>
  <c r="BI79" i="30" s="1"/>
  <c r="BJ79" i="30" s="1"/>
  <c r="BK79" i="30" s="1"/>
  <c r="BL79" i="30" s="1"/>
  <c r="BM79" i="30" s="1"/>
  <c r="N78" i="30"/>
  <c r="O78" i="30" s="1"/>
  <c r="P78" i="30" s="1"/>
  <c r="Q78" i="30" s="1"/>
  <c r="R78" i="30" s="1"/>
  <c r="S78" i="30" s="1"/>
  <c r="T78" i="30" s="1"/>
  <c r="U78" i="30" s="1"/>
  <c r="V78" i="30" s="1"/>
  <c r="W78" i="30" s="1"/>
  <c r="X78" i="30" s="1"/>
  <c r="Y78" i="30" s="1"/>
  <c r="Z78" i="30" s="1"/>
  <c r="AA78" i="30" s="1"/>
  <c r="AB78" i="30" s="1"/>
  <c r="AC78" i="30" s="1"/>
  <c r="AD78" i="30" s="1"/>
  <c r="AE78" i="30" s="1"/>
  <c r="AF78" i="30" s="1"/>
  <c r="AG78" i="30" s="1"/>
  <c r="AH78" i="30" s="1"/>
  <c r="AI78" i="30" s="1"/>
  <c r="AJ78" i="30" s="1"/>
  <c r="AK78" i="30" s="1"/>
  <c r="AL78" i="30" s="1"/>
  <c r="AM78" i="30" s="1"/>
  <c r="AN78" i="30" s="1"/>
  <c r="AO78" i="30" s="1"/>
  <c r="AP78" i="30" s="1"/>
  <c r="AQ78" i="30" s="1"/>
  <c r="AR78" i="30" s="1"/>
  <c r="AS78" i="30" s="1"/>
  <c r="AT78" i="30" s="1"/>
  <c r="AU78" i="30" s="1"/>
  <c r="AV78" i="30" s="1"/>
  <c r="AW78" i="30" s="1"/>
  <c r="AX78" i="30" s="1"/>
  <c r="AY78" i="30" s="1"/>
  <c r="AZ78" i="30" s="1"/>
  <c r="BA78" i="30" s="1"/>
  <c r="BB78" i="30" s="1"/>
  <c r="BC78" i="30" s="1"/>
  <c r="BD78" i="30" s="1"/>
  <c r="BE78" i="30" s="1"/>
  <c r="BF78" i="30" s="1"/>
  <c r="BG78" i="30" s="1"/>
  <c r="BH78" i="30" s="1"/>
  <c r="BI78" i="30" s="1"/>
  <c r="BJ78" i="30" s="1"/>
  <c r="BK78" i="30" s="1"/>
  <c r="BL78" i="30" s="1"/>
  <c r="BM78" i="30" s="1"/>
  <c r="D35" i="32" s="1"/>
  <c r="B17" i="17"/>
  <c r="D6" i="32" s="1"/>
  <c r="C16" i="17"/>
  <c r="D36" i="32" l="1"/>
  <c r="D21" i="17"/>
  <c r="E21" i="17" s="1"/>
  <c r="D20" i="17"/>
  <c r="B5" i="15" l="1"/>
  <c r="E20" i="17"/>
  <c r="B6"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3" authorId="0" shapeId="0" xr:uid="{2A3B1904-61B9-4606-8292-D788AE5B3298}">
      <text>
        <r>
          <rPr>
            <b/>
            <sz val="9"/>
            <color indexed="81"/>
            <rFont val="Tahoma"/>
            <family val="2"/>
          </rPr>
          <t>Ro Richardson:</t>
        </r>
        <r>
          <rPr>
            <sz val="9"/>
            <color indexed="81"/>
            <rFont val="Tahoma"/>
            <family val="2"/>
          </rPr>
          <t xml:space="preserve">
This is the base assumption value for this assumption.</t>
        </r>
      </text>
    </comment>
    <comment ref="E3" authorId="0" shapeId="0" xr:uid="{1FD2CE0B-DA23-45EC-9718-E02EED8171A8}">
      <text>
        <r>
          <rPr>
            <b/>
            <sz val="9"/>
            <color indexed="81"/>
            <rFont val="Tahoma"/>
            <family val="2"/>
          </rPr>
          <t>Ro Richardson:</t>
        </r>
        <r>
          <rPr>
            <sz val="9"/>
            <color indexed="81"/>
            <rFont val="Tahoma"/>
            <family val="2"/>
          </rPr>
          <t xml:space="preserve">
Values in this column can be used to temporarily override the default values. Deleting the value in this column reinstates the default value.</t>
        </r>
      </text>
    </comment>
    <comment ref="F3" authorId="0" shapeId="0" xr:uid="{D36A13C8-5F1C-4EE0-AEBE-FB2E0D16637C}">
      <text>
        <r>
          <rPr>
            <b/>
            <sz val="9"/>
            <color indexed="81"/>
            <rFont val="Tahoma"/>
            <family val="2"/>
          </rPr>
          <t>Ro Richardson:</t>
        </r>
        <r>
          <rPr>
            <sz val="9"/>
            <color indexed="81"/>
            <rFont val="Tahoma"/>
            <family val="2"/>
          </rPr>
          <t xml:space="preserve">
If a value per year (see columns I, J, K etc to the right) is available, that is used, otherwise if an override value (column F) is present in the previous column, use that, otherwise use the default value (column E).</t>
        </r>
      </text>
    </comment>
    <comment ref="B5" authorId="0" shapeId="0" xr:uid="{E2523E4F-FC25-4B92-B50E-F4D7B2966CB1}">
      <text>
        <r>
          <rPr>
            <b/>
            <sz val="9"/>
            <color indexed="81"/>
            <rFont val="Tahoma"/>
            <family val="2"/>
          </rPr>
          <t>Ro Richardson:</t>
        </r>
        <r>
          <rPr>
            <sz val="9"/>
            <color indexed="81"/>
            <rFont val="Tahoma"/>
            <family val="2"/>
          </rPr>
          <t xml:space="preserve">
This is the minimum IRR value that your organisation needs to run the project, given its risk profile.</t>
        </r>
      </text>
    </comment>
    <comment ref="B6" authorId="0" shapeId="0" xr:uid="{671A16DF-5BBA-446D-86BE-923CF9F2ED94}">
      <text>
        <r>
          <rPr>
            <b/>
            <sz val="9"/>
            <color indexed="81"/>
            <rFont val="Tahoma"/>
            <family val="2"/>
          </rPr>
          <t>Ro Richardson:</t>
        </r>
        <r>
          <rPr>
            <sz val="9"/>
            <color indexed="81"/>
            <rFont val="Tahoma"/>
            <family val="2"/>
          </rPr>
          <t xml:space="preserve">
Only used to calculate Net Present Value of the project.</t>
        </r>
      </text>
    </comment>
    <comment ref="M24" authorId="0" shapeId="0" xr:uid="{676EC056-47FB-4D57-BA8B-FEF43440791D}">
      <text>
        <r>
          <rPr>
            <b/>
            <sz val="9"/>
            <color indexed="81"/>
            <rFont val="Tahoma"/>
            <family val="2"/>
          </rPr>
          <t>Ro Richardson:</t>
        </r>
        <r>
          <rPr>
            <sz val="9"/>
            <color indexed="81"/>
            <rFont val="Tahoma"/>
            <family val="2"/>
          </rPr>
          <t xml:space="preserve">
Example showing cash received.</t>
        </r>
      </text>
    </comment>
    <comment ref="Q24" authorId="0" shapeId="0" xr:uid="{3B2EF92D-1963-4936-A49A-7A8AB53700A5}">
      <text>
        <r>
          <rPr>
            <b/>
            <sz val="9"/>
            <color indexed="81"/>
            <rFont val="Tahoma"/>
            <family val="2"/>
          </rPr>
          <t>Ro Richardson:</t>
        </r>
        <r>
          <rPr>
            <sz val="9"/>
            <color indexed="81"/>
            <rFont val="Tahoma"/>
            <family val="2"/>
          </rPr>
          <t xml:space="preserve">
Example showing cash outflow or expenditure.</t>
        </r>
      </text>
    </comment>
    <comment ref="B27" authorId="0" shapeId="0" xr:uid="{895E4E0C-75F7-4885-978D-A54323665AA1}">
      <text>
        <r>
          <rPr>
            <b/>
            <sz val="9"/>
            <color indexed="81"/>
            <rFont val="Tahoma"/>
            <family val="2"/>
          </rPr>
          <t>Ro Richardson:</t>
        </r>
        <r>
          <rPr>
            <sz val="9"/>
            <color indexed="81"/>
            <rFont val="Tahoma"/>
            <family val="2"/>
          </rPr>
          <t xml:space="preserve">
percentage of rated output actually generated/saved/(consumed) over the year</t>
        </r>
      </text>
    </comment>
    <comment ref="B35" authorId="0" shapeId="0" xr:uid="{45EE4875-D3C9-454F-9668-AAAAFE5B5AA3}">
      <text>
        <r>
          <rPr>
            <b/>
            <sz val="9"/>
            <color indexed="81"/>
            <rFont val="Tahoma"/>
            <family val="2"/>
          </rPr>
          <t>Ro Richardson:</t>
        </r>
        <r>
          <rPr>
            <sz val="9"/>
            <color indexed="81"/>
            <rFont val="Tahoma"/>
            <family val="2"/>
          </rPr>
          <t xml:space="preserve">
percentage of rated output actually generated/saved/(consumed) over the year</t>
        </r>
      </text>
    </comment>
    <comment ref="B43" authorId="0" shapeId="0" xr:uid="{D9E0A0E4-0627-47E8-B033-00B937BA3C2B}">
      <text>
        <r>
          <rPr>
            <b/>
            <sz val="9"/>
            <color indexed="81"/>
            <rFont val="Tahoma"/>
            <family val="2"/>
          </rPr>
          <t>Ro Richardson:</t>
        </r>
        <r>
          <rPr>
            <sz val="9"/>
            <color indexed="81"/>
            <rFont val="Tahoma"/>
            <family val="2"/>
          </rPr>
          <t xml:space="preserve">
percentage of rated output actually generated/saved/(consumed) over the year</t>
        </r>
      </text>
    </comment>
    <comment ref="D52" authorId="0" shapeId="0" xr:uid="{7F043F8C-B7C8-46D8-B5FA-37D87C509D4A}">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55" authorId="0" shapeId="0" xr:uid="{CBBF13E6-C021-450F-A607-2EC91D323DC2}">
      <text>
        <r>
          <rPr>
            <b/>
            <sz val="9"/>
            <color indexed="81"/>
            <rFont val="Tahoma"/>
            <family val="2"/>
          </rPr>
          <t>Ro Richardson:</t>
        </r>
        <r>
          <rPr>
            <sz val="9"/>
            <color indexed="81"/>
            <rFont val="Tahoma"/>
            <family val="2"/>
          </rPr>
          <t xml:space="preserve">
Bear in mind that all numbers are in current year dollars. Prices that increase with inflation will show as unchanged. If prices increase less than inflation, will decrease in real terms.</t>
        </r>
      </text>
    </comment>
    <comment ref="B60" authorId="0" shapeId="0" xr:uid="{C9592B18-F24A-4888-A59B-38BB04AD6A6B}">
      <text>
        <r>
          <rPr>
            <b/>
            <sz val="9"/>
            <color indexed="81"/>
            <rFont val="Tahoma"/>
            <family val="2"/>
          </rPr>
          <t>Ro Richardson:</t>
        </r>
        <r>
          <rPr>
            <sz val="9"/>
            <color indexed="81"/>
            <rFont val="Tahoma"/>
            <family val="2"/>
          </rPr>
          <t xml:space="preserve">
percentage of rated output actually generated/saved/(consumed) over the year</t>
        </r>
      </text>
    </comment>
    <comment ref="D72" authorId="0" shapeId="0" xr:uid="{67FF339F-3ED1-45DF-B5D8-6A2AECDA3C82}">
      <text>
        <r>
          <rPr>
            <b/>
            <sz val="9"/>
            <color indexed="81"/>
            <rFont val="Tahoma"/>
            <family val="2"/>
          </rPr>
          <t>Ro Richardson:</t>
        </r>
        <r>
          <rPr>
            <sz val="9"/>
            <color indexed="81"/>
            <rFont val="Tahoma"/>
            <family val="2"/>
          </rPr>
          <t xml:space="preserve">
=80%^(1/30)-100% calculates a value for panels warranted to have 80% capacity after 30 years.</t>
        </r>
      </text>
    </comment>
    <comment ref="D78" authorId="0" shapeId="0" xr:uid="{01B49105-EA99-4300-BC57-C068D494FF90}">
      <text>
        <r>
          <rPr>
            <b/>
            <sz val="9"/>
            <color indexed="81"/>
            <rFont val="Tahoma"/>
            <family val="2"/>
          </rPr>
          <t>Ro Richardson:</t>
        </r>
        <r>
          <rPr>
            <sz val="9"/>
            <color indexed="81"/>
            <rFont val="Tahoma"/>
            <family val="2"/>
          </rPr>
          <t xml:space="preserve">
=80%^(1/30)-100% calculates a value for panels warranted to have 80% capacity after 30 years.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E2" authorId="0" shapeId="0" xr:uid="{8B8EDD0A-4544-47E2-B389-04D5D4DEEAD2}">
      <text>
        <r>
          <rPr>
            <b/>
            <sz val="9"/>
            <color indexed="81"/>
            <rFont val="Tahoma"/>
            <family val="2"/>
          </rPr>
          <t>Ro Richardson:</t>
        </r>
        <r>
          <rPr>
            <sz val="9"/>
            <color indexed="81"/>
            <rFont val="Tahoma"/>
            <family val="2"/>
          </rPr>
          <t xml:space="preserve">
Any inputs not allocated to a specific module.</t>
        </r>
      </text>
    </comment>
    <comment ref="C26" authorId="0" shapeId="0" xr:uid="{ABA96F94-28A6-4CB5-9D60-0F8DCDB75E5F}">
      <text>
        <r>
          <rPr>
            <b/>
            <sz val="9"/>
            <color indexed="81"/>
            <rFont val="Tahoma"/>
            <family val="2"/>
          </rPr>
          <t>Ro Richardson:</t>
        </r>
        <r>
          <rPr>
            <sz val="9"/>
            <color indexed="81"/>
            <rFont val="Tahoma"/>
            <family val="2"/>
          </rPr>
          <t xml:space="preserve">
Too late to receive CEFF funding.</t>
        </r>
      </text>
    </comment>
    <comment ref="C27" authorId="0" shapeId="0" xr:uid="{36FE3397-D389-4BDE-BD3D-F37F92F3358F}">
      <text>
        <r>
          <rPr>
            <b/>
            <sz val="9"/>
            <color indexed="81"/>
            <rFont val="Tahoma"/>
            <family val="2"/>
          </rPr>
          <t>Ro Richardson:</t>
        </r>
        <r>
          <rPr>
            <sz val="9"/>
            <color indexed="81"/>
            <rFont val="Tahoma"/>
            <family val="2"/>
          </rPr>
          <t xml:space="preserve">
Too late to receive CEFF funding. 5 year max.</t>
        </r>
      </text>
    </comment>
    <comment ref="D47" authorId="0" shapeId="0" xr:uid="{732C945A-3661-48DF-A92C-C71B920CC84A}">
      <text>
        <r>
          <rPr>
            <b/>
            <sz val="9"/>
            <color indexed="81"/>
            <rFont val="Tahoma"/>
            <family val="2"/>
          </rPr>
          <t>Ro Richardson:</t>
        </r>
        <r>
          <rPr>
            <sz val="9"/>
            <color indexed="81"/>
            <rFont val="Tahoma"/>
            <family val="2"/>
          </rPr>
          <t xml:space="preserve">
Yearly output divided by theoretical maximum (nameplate) yearly output operating continuously at full capacity. </t>
        </r>
      </text>
    </comment>
    <comment ref="D48" authorId="0" shapeId="0" xr:uid="{DFFE1259-C263-4DE5-8A1C-AC5B3028CC58}">
      <text>
        <r>
          <rPr>
            <b/>
            <sz val="9"/>
            <color indexed="81"/>
            <rFont val="Tahoma"/>
            <family val="2"/>
          </rPr>
          <t>Ro Richardson:</t>
        </r>
        <r>
          <rPr>
            <sz val="9"/>
            <color indexed="81"/>
            <rFont val="Tahoma"/>
            <family val="2"/>
          </rPr>
          <t xml:space="preserve">
Either complete this row or the one above.</t>
        </r>
      </text>
    </comment>
    <comment ref="C107" authorId="0" shapeId="0" xr:uid="{7811CF76-EC20-499C-BABB-D9547C79DF9C}">
      <text>
        <r>
          <rPr>
            <b/>
            <sz val="9"/>
            <color indexed="81"/>
            <rFont val="Tahoma"/>
            <family val="2"/>
          </rPr>
          <t>Ro Richardson:</t>
        </r>
        <r>
          <rPr>
            <sz val="9"/>
            <color indexed="81"/>
            <rFont val="Tahoma"/>
            <family val="2"/>
          </rPr>
          <t xml:space="preserve">
Positive if residual value. Negative if decommissioning cost.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K75" authorId="0" shapeId="0" xr:uid="{6EF75FB9-5883-4EAB-83B1-12243039180A}">
      <text>
        <r>
          <rPr>
            <b/>
            <sz val="9"/>
            <color indexed="81"/>
            <rFont val="Tahoma"/>
            <family val="2"/>
          </rPr>
          <t>Ro Richardson:</t>
        </r>
        <r>
          <rPr>
            <sz val="9"/>
            <color indexed="81"/>
            <rFont val="Tahoma"/>
            <family val="2"/>
          </rPr>
          <t xml:space="preserve">
Use Excel comments to identify the cashflow.
Do not include construction capital flows already captured. Positive values are money received. Negative is for money paid or lost.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 Richardson</author>
  </authors>
  <commentList>
    <comment ref="D18" authorId="0" shapeId="0" xr:uid="{4CEB58FE-42F1-4DA9-87AF-09F906E3354D}">
      <text>
        <r>
          <rPr>
            <b/>
            <sz val="9"/>
            <color indexed="81"/>
            <rFont val="Tahoma"/>
            <family val="2"/>
          </rPr>
          <t>Ro Richardson:</t>
        </r>
        <r>
          <rPr>
            <sz val="9"/>
            <color indexed="81"/>
            <rFont val="Tahoma"/>
            <family val="2"/>
          </rPr>
          <t xml:space="preserve">
Calculates years until the last revenue stream starts.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<sst xmlns="http://schemas.openxmlformats.org/spreadsheetml/2006/main" count="862" uniqueCount="507">
  <si>
    <t>Sections</t>
  </si>
  <si>
    <t>13. In-kind Expenses</t>
  </si>
  <si>
    <t>14. Milestone Table</t>
  </si>
  <si>
    <t>15. Charts</t>
  </si>
  <si>
    <t>16. Eligible Costs</t>
  </si>
  <si>
    <t>Modules</t>
  </si>
  <si>
    <t>Resource Intensity</t>
  </si>
  <si>
    <t>Not tied to a module</t>
  </si>
  <si>
    <t>FEED and approvals</t>
  </si>
  <si>
    <t>Solar North SAT</t>
  </si>
  <si>
    <t>Solar East/West</t>
  </si>
  <si>
    <t>Wind farm</t>
  </si>
  <si>
    <t>Battery system</t>
  </si>
  <si>
    <t>Biogas generator</t>
  </si>
  <si>
    <t>Inverter refresh</t>
  </si>
  <si>
    <t>Unused module</t>
  </si>
  <si>
    <t>Total units for all modules</t>
  </si>
  <si>
    <t>Energy</t>
  </si>
  <si>
    <t>Emissions</t>
  </si>
  <si>
    <t>Cost</t>
  </si>
  <si>
    <t>Line item cost</t>
  </si>
  <si>
    <t>Inputs or outputs</t>
  </si>
  <si>
    <t>Units</t>
  </si>
  <si>
    <t>Quantities</t>
  </si>
  <si>
    <t>MWh/unit</t>
  </si>
  <si>
    <t>tCO2e/unit</t>
  </si>
  <si>
    <t>$/unit</t>
  </si>
  <si>
    <t>$</t>
  </si>
  <si>
    <t>Inputs eligible for funding</t>
  </si>
  <si>
    <t>FEED phase</t>
  </si>
  <si>
    <t>unit</t>
  </si>
  <si>
    <t>Site works</t>
  </si>
  <si>
    <t>Solar panels</t>
  </si>
  <si>
    <t>MW</t>
  </si>
  <si>
    <t>Inverters and electrical for solar</t>
  </si>
  <si>
    <t>$/MW</t>
  </si>
  <si>
    <t>Solar North facing mounting</t>
  </si>
  <si>
    <t>Solar East West mounting</t>
  </si>
  <si>
    <t>Wind turbines</t>
  </si>
  <si>
    <t>Battery - energy</t>
  </si>
  <si>
    <t>MWh</t>
  </si>
  <si>
    <t>Battery - power</t>
  </si>
  <si>
    <t>Biogas facility</t>
  </si>
  <si>
    <t>GJ/hr</t>
  </si>
  <si>
    <t>Project management</t>
  </si>
  <si>
    <t>Engineer salary 50% on project (50% x $100k)</t>
  </si>
  <si>
    <t>Ineligible inputs</t>
  </si>
  <si>
    <t>Work already done</t>
  </si>
  <si>
    <t>Other ineligible costs</t>
  </si>
  <si>
    <t>Land required for the project</t>
  </si>
  <si>
    <t>ha</t>
  </si>
  <si>
    <t>Inverter refresh at 10 years</t>
  </si>
  <si>
    <t>Resource Totals</t>
  </si>
  <si>
    <t>Total energy consumed in construction</t>
  </si>
  <si>
    <t>Total emissions from construction</t>
  </si>
  <si>
    <t>t CO2e</t>
  </si>
  <si>
    <t>Eligible costs</t>
  </si>
  <si>
    <t>Ineligible costs</t>
  </si>
  <si>
    <t>Total costs before contingency</t>
  </si>
  <si>
    <t>Contingency (not part of eligible costs)</t>
  </si>
  <si>
    <t>Total construction costs including contingency</t>
  </si>
  <si>
    <t>Module cost as % of eligible costs</t>
  </si>
  <si>
    <t>%</t>
  </si>
  <si>
    <t>Allocation of grant by module cost</t>
  </si>
  <si>
    <t>Time from project start to main costs for module</t>
  </si>
  <si>
    <t>Month</t>
  </si>
  <si>
    <t>Time from project start to module revenue start</t>
  </si>
  <si>
    <t>Operating life</t>
  </si>
  <si>
    <t>Years</t>
  </si>
  <si>
    <t>Months to decommissioning</t>
  </si>
  <si>
    <t>Date for module revenue start</t>
  </si>
  <si>
    <t>Date</t>
  </si>
  <si>
    <t>Date for module end of life</t>
  </si>
  <si>
    <t>Generation capacity factor</t>
  </si>
  <si>
    <t>Operational hours/year</t>
  </si>
  <si>
    <t>hours</t>
  </si>
  <si>
    <t>Hourly while operating</t>
  </si>
  <si>
    <t>Grid electricity</t>
  </si>
  <si>
    <t>Biomass</t>
  </si>
  <si>
    <t>t/h</t>
  </si>
  <si>
    <t>Water</t>
  </si>
  <si>
    <t>kL/h</t>
  </si>
  <si>
    <t>Gas</t>
  </si>
  <si>
    <t>GJ/h</t>
  </si>
  <si>
    <t>Diesel</t>
  </si>
  <si>
    <t>Coal</t>
  </si>
  <si>
    <t>X/h</t>
  </si>
  <si>
    <t>Yearly</t>
  </si>
  <si>
    <t>MWh/yr</t>
  </si>
  <si>
    <t>t/yr</t>
  </si>
  <si>
    <t>kL/yr</t>
  </si>
  <si>
    <t>GJ/yr</t>
  </si>
  <si>
    <t>X/yr</t>
  </si>
  <si>
    <t>Yearly totals</t>
  </si>
  <si>
    <t>Total energy/year</t>
  </si>
  <si>
    <t>Total emissions/year</t>
  </si>
  <si>
    <t>t CO2e/yr</t>
  </si>
  <si>
    <t>Total cost/year</t>
  </si>
  <si>
    <t>$/yr</t>
  </si>
  <si>
    <t>Hourly while operating or "Nameplate"</t>
  </si>
  <si>
    <t>Solar electricity exported</t>
  </si>
  <si>
    <t>Wind electricity exported</t>
  </si>
  <si>
    <t>Battery electricity exported</t>
  </si>
  <si>
    <t>Hydrogen produced</t>
  </si>
  <si>
    <t>Water saved or produced</t>
  </si>
  <si>
    <t>Bio gas produced</t>
  </si>
  <si>
    <t>Bio diesel produced</t>
  </si>
  <si>
    <t>Charcoal produced</t>
  </si>
  <si>
    <t>Total emissions saving/year</t>
  </si>
  <si>
    <t>Revenue from carbon credits</t>
  </si>
  <si>
    <t>Revenue from other products</t>
  </si>
  <si>
    <t>Total revenue/year</t>
  </si>
  <si>
    <t>Total energy to decommission and remediate</t>
  </si>
  <si>
    <t>Decommissioning versus recommissioning</t>
  </si>
  <si>
    <t>Emissions from remediation</t>
  </si>
  <si>
    <t>If you expect the plant to be decommissioned at the end of the term, complete as a site remediation. If you expect the plant to be renovated, re-made or even re-purposed, complete as residual value.</t>
  </si>
  <si>
    <t>Residual value</t>
  </si>
  <si>
    <t>Remediation cost</t>
  </si>
  <si>
    <t>Total value (cost) of decommissioning</t>
  </si>
  <si>
    <t>Energy generated or saved/year</t>
  </si>
  <si>
    <t>Emissions saved/year</t>
  </si>
  <si>
    <t>Total revenue earned/year</t>
  </si>
  <si>
    <t>Total capital expenditure less residual</t>
  </si>
  <si>
    <t>Return on capital employed (ROCE) by module</t>
  </si>
  <si>
    <t>Data table row/Financial year no</t>
  </si>
  <si>
    <t>Capital/Construction + Decommissioning</t>
  </si>
  <si>
    <t>Operating</t>
  </si>
  <si>
    <t>Operating Life</t>
  </si>
  <si>
    <t>Financial year no</t>
  </si>
  <si>
    <t>First project financial year starts</t>
  </si>
  <si>
    <t>Month for Capital Cost</t>
  </si>
  <si>
    <t>CEFF Grant</t>
  </si>
  <si>
    <t>Construction Total</t>
  </si>
  <si>
    <t>Decommissioning Total</t>
  </si>
  <si>
    <t>Annual Operating</t>
  </si>
  <si>
    <t>Start</t>
  </si>
  <si>
    <t>Finish</t>
  </si>
  <si>
    <t>Financial year end date</t>
  </si>
  <si>
    <t>Fin yr start</t>
  </si>
  <si>
    <t>Financial year start month</t>
  </si>
  <si>
    <t>Financial year end month</t>
  </si>
  <si>
    <t>Capital grant from CEFF</t>
  </si>
  <si>
    <t>Construction Capital</t>
  </si>
  <si>
    <t>Decommissioning Capital</t>
  </si>
  <si>
    <t>Construction Emissions</t>
  </si>
  <si>
    <t>Decommissioning Emissions</t>
  </si>
  <si>
    <t>Construction Energy</t>
  </si>
  <si>
    <t>Decommissioning Energy</t>
  </si>
  <si>
    <t>Misc cashflows</t>
  </si>
  <si>
    <t>Year cashflow without CEFF</t>
  </si>
  <si>
    <t>Year cashflow with CEFF</t>
  </si>
  <si>
    <t>Cumulative cashflow without CEFF</t>
  </si>
  <si>
    <t>Cumulative cashflow with CEFF</t>
  </si>
  <si>
    <t>Total emissions saving per year</t>
  </si>
  <si>
    <t>Lifetime emissions saved</t>
  </si>
  <si>
    <t>Energy produced per year</t>
  </si>
  <si>
    <t>Lifetime Energy Produced</t>
  </si>
  <si>
    <t>Description</t>
  </si>
  <si>
    <t>Value</t>
  </si>
  <si>
    <t>% of full costs</t>
  </si>
  <si>
    <t>Real required 
return % *</t>
  </si>
  <si>
    <t>Nominal required return %</t>
  </si>
  <si>
    <t>Justification for assumptions</t>
  </si>
  <si>
    <t>Full cost of project</t>
  </si>
  <si>
    <t>Eligible cost of project</t>
  </si>
  <si>
    <t>Maximum CEFF grant</t>
  </si>
  <si>
    <t>Inflation rate</t>
  </si>
  <si>
    <t>CEFF request</t>
  </si>
  <si>
    <t xml:space="preserve">Must comply with grant rules. </t>
  </si>
  <si>
    <t>Other WA Government grants</t>
  </si>
  <si>
    <t>Granted by WA fund ###.</t>
  </si>
  <si>
    <t>Other grants</t>
  </si>
  <si>
    <t>Grant from federal agency ### announced DD-MMM-YY</t>
  </si>
  <si>
    <t>Equity from applicants</t>
  </si>
  <si>
    <t>Letter provided giving evidence funds are available.</t>
  </si>
  <si>
    <t>Equity from others</t>
  </si>
  <si>
    <t>Debt</t>
  </si>
  <si>
    <t>Line of credit from XYZ bank</t>
  </si>
  <si>
    <t>Other (Describe)</t>
  </si>
  <si>
    <t>From Funding Buffer</t>
  </si>
  <si>
    <t>Interest rate as cost escalation will come from buffer - see below.</t>
  </si>
  <si>
    <t>Maximum Funding Buffer Available</t>
  </si>
  <si>
    <t>Additional funding available if necessary - Line of credit from XYZ bank</t>
  </si>
  <si>
    <t>Unaccounted funds &lt;= buffer?</t>
  </si>
  <si>
    <t>Is there enough money, with the buffer, for the project to complete?</t>
  </si>
  <si>
    <t>Total grants as % of full costs</t>
  </si>
  <si>
    <t>WA Government funding as % of total eligible costs</t>
  </si>
  <si>
    <t>Used to guide setting of hurdle rate and discount rate in assumptions</t>
  </si>
  <si>
    <t>Minimum funding</t>
  </si>
  <si>
    <t>* Use real rates</t>
  </si>
  <si>
    <t>Maximum funding</t>
  </si>
  <si>
    <t>Maximum funding to eligible costs</t>
  </si>
  <si>
    <t>Maximum years to spend funds</t>
  </si>
  <si>
    <t>Emissions target year 1</t>
  </si>
  <si>
    <t>Emissions target year 2</t>
  </si>
  <si>
    <t>Optional Comments</t>
  </si>
  <si>
    <t>Are sufficient funds identified for all project costs?</t>
  </si>
  <si>
    <t>Investment threshold &gt;= Discount rate?</t>
  </si>
  <si>
    <t>Is IRR with CEFF &gt; Investment threshold?</t>
  </si>
  <si>
    <t>Is IRR without CEFF &lt; Investment threshold?</t>
  </si>
  <si>
    <t>Project reduces carbon emissions</t>
  </si>
  <si>
    <t>Full project cost</t>
  </si>
  <si>
    <t>Eligible project cost</t>
  </si>
  <si>
    <t>CEFF request as percentage of eligible costs</t>
  </si>
  <si>
    <t>Years to full operation</t>
  </si>
  <si>
    <t>years</t>
  </si>
  <si>
    <t>Operating life in years</t>
  </si>
  <si>
    <t>Energy produced each year</t>
  </si>
  <si>
    <t>MWh/year</t>
  </si>
  <si>
    <t>Lifetime energy production</t>
  </si>
  <si>
    <t>CO2-e tonnes saved - each year</t>
  </si>
  <si>
    <t>CO2-e tonnes saved - lifetime</t>
  </si>
  <si>
    <t>CEFF cost per tonne per year saving</t>
  </si>
  <si>
    <t>$/t/yr</t>
  </si>
  <si>
    <t>CEFF cost per lifetime tonne CO2-e saved</t>
  </si>
  <si>
    <t>$/t</t>
  </si>
  <si>
    <t>Total project cost per lifetime tonne CO2-e saved</t>
  </si>
  <si>
    <t>Internal rate of return (IRR) without CEFF</t>
  </si>
  <si>
    <t>Internal rate of return (IRR) with CEFF</t>
  </si>
  <si>
    <t>Investment threshold/hurdle rate</t>
  </si>
  <si>
    <t>Discount rate for NPV</t>
  </si>
  <si>
    <t>Net Present Value (NPV) without CEFF</t>
  </si>
  <si>
    <t>Net Present Value (NPV) with CEFF</t>
  </si>
  <si>
    <t>Simple payback without CEFF</t>
  </si>
  <si>
    <t>Simple payback with CEFF</t>
  </si>
  <si>
    <t>Year for data table</t>
  </si>
  <si>
    <t>Project year and financial year ending.</t>
  </si>
  <si>
    <t>Default value</t>
  </si>
  <si>
    <t>Override value</t>
  </si>
  <si>
    <t>Value used</t>
  </si>
  <si>
    <t>General project assumptions</t>
  </si>
  <si>
    <t>Company or investor policy.</t>
  </si>
  <si>
    <t>From weighted average cost of capital WACC (nominal)</t>
  </si>
  <si>
    <t>CEFF grant size</t>
  </si>
  <si>
    <t>Calculated value is the maximum available</t>
  </si>
  <si>
    <t>Construction cost contingency</t>
  </si>
  <si>
    <t>Capital allocation for unforeseen costs that may arise during construction.</t>
  </si>
  <si>
    <t>Project start date</t>
  </si>
  <si>
    <t>Based on an assumption of when grant application result is available.</t>
  </si>
  <si>
    <t>Financial year starts on month number</t>
  </si>
  <si>
    <t>Month 7 is July for companies with financial year starting 1 July.</t>
  </si>
  <si>
    <t>Estimate based on the Reserve Bank of Australia target band of 2-3%</t>
  </si>
  <si>
    <t>Project operational life</t>
  </si>
  <si>
    <t>This is a project design decision. You can set individual module lifespans in section 2</t>
  </si>
  <si>
    <t>Carbon intensity to SELL electricity to the NWIS grid</t>
  </si>
  <si>
    <t>t CO2e/MWh</t>
  </si>
  <si>
    <t>From National Greenhouse Accounts Factors. Use year you first sell electricity</t>
  </si>
  <si>
    <t>Carbon intensity to BUY electricity from the NWIS grid</t>
  </si>
  <si>
    <t>From DCCEEW: Australia’s emissions projections 2024</t>
  </si>
  <si>
    <t>Carbon intensity to SELL electricity to the SWIS grid</t>
  </si>
  <si>
    <t>Carbon intensity to BUY electricity from the SWIS grid</t>
  </si>
  <si>
    <t>Use quotes or comparison with similar project.</t>
  </si>
  <si>
    <t>Show your rationale for this cost</t>
  </si>
  <si>
    <t>Land acquisition</t>
  </si>
  <si>
    <t>$/ha</t>
  </si>
  <si>
    <t>Use actual land values</t>
  </si>
  <si>
    <t>Engineer salary 50% on construction project</t>
  </si>
  <si>
    <t>Assume 1 year @ $150k/yr * 50%</t>
  </si>
  <si>
    <t>Annual operating expense (across modules)</t>
  </si>
  <si>
    <t>Based on calculation of expense components.</t>
  </si>
  <si>
    <t>Land for infrastructure not tied to a module (e.g. roads)</t>
  </si>
  <si>
    <t>Estimate based on site configuration.</t>
  </si>
  <si>
    <t>Miscellaneous cashflows</t>
  </si>
  <si>
    <t>Capture values by year to the right. Use cell comments to capture reasons.</t>
  </si>
  <si>
    <t>Solar East/West example - 5B Maverick</t>
  </si>
  <si>
    <t>Capacity</t>
  </si>
  <si>
    <t>This is a project design decision.</t>
  </si>
  <si>
    <t>Capacity factor - solar Perth</t>
  </si>
  <si>
    <t>Modelled based on location</t>
  </si>
  <si>
    <t>Capacity factor - solar Geraldton</t>
  </si>
  <si>
    <t>Capacity factor - solar Port Hedland</t>
  </si>
  <si>
    <t>Solar panels installed cost</t>
  </si>
  <si>
    <t>Use supplier published prices or quotes.</t>
  </si>
  <si>
    <t>Solar hectares of land needed per MW</t>
  </si>
  <si>
    <t>ha/MW</t>
  </si>
  <si>
    <t>Estimate - get quotes.</t>
  </si>
  <si>
    <t>Solar operating costs per year (East/West)</t>
  </si>
  <si>
    <t>Estimates based on equipment specification</t>
  </si>
  <si>
    <t>Single axis tracking example - RapidTrakker</t>
  </si>
  <si>
    <t>Solar hectares of land needed</t>
  </si>
  <si>
    <t>Solar operating costs per year (North SAT)</t>
  </si>
  <si>
    <t>Solar fixed mount north facing</t>
  </si>
  <si>
    <t>Solar operating costs per year (North fixed)</t>
  </si>
  <si>
    <t>Solar panel and PPA characteristics</t>
  </si>
  <si>
    <t>Solar panel warranty years</t>
  </si>
  <si>
    <t>yr</t>
  </si>
  <si>
    <t>From manufacturer warranty</t>
  </si>
  <si>
    <t>Solar panel performance at end of warranty</t>
  </si>
  <si>
    <t>Calculated annual change in panel performance</t>
  </si>
  <si>
    <t>Calculated.</t>
  </si>
  <si>
    <t>Solar panel retained capacity by year</t>
  </si>
  <si>
    <t>Based on manufacturer warranty</t>
  </si>
  <si>
    <t>PPA selling price increase as percent of inflation</t>
  </si>
  <si>
    <t>Example figure.</t>
  </si>
  <si>
    <t>Annual change in PPA value in real terms.</t>
  </si>
  <si>
    <t>Electricity selling price (solar)</t>
  </si>
  <si>
    <t>From similar projects or offtaker negotiations</t>
  </si>
  <si>
    <t>Inverter cost (for refresh at 10 years)</t>
  </si>
  <si>
    <t>Wind</t>
  </si>
  <si>
    <t>Capacity factor - wind</t>
  </si>
  <si>
    <t>Modelled based on equipment and location</t>
  </si>
  <si>
    <t>Annual capacity degradation</t>
  </si>
  <si>
    <t>Use manufacturer specifications.</t>
  </si>
  <si>
    <t>Retained performance by uear</t>
  </si>
  <si>
    <t>Wind turbines installed cost</t>
  </si>
  <si>
    <t>Wind turbines hectares of land needed</t>
  </si>
  <si>
    <t>https://sciencing.com/much-land-needed-wind-turbines-12304634.html</t>
  </si>
  <si>
    <t>Electricity selling price</t>
  </si>
  <si>
    <t>Wind operating costs per year</t>
  </si>
  <si>
    <t>Battery</t>
  </si>
  <si>
    <t>Battery energy life spec</t>
  </si>
  <si>
    <t>Battery energy capacity at end of life (Capacity Fade)</t>
  </si>
  <si>
    <t>Calculated annual capacity loss</t>
  </si>
  <si>
    <t>Battery power life spec</t>
  </si>
  <si>
    <t>Battery power capacity at end of life (Power Fade)</t>
  </si>
  <si>
    <t>Calculated annual power loss</t>
  </si>
  <si>
    <t>Battery (1 hour) cost</t>
  </si>
  <si>
    <t>$/MWh</t>
  </si>
  <si>
    <t>Based on web search. Use actual quotes.</t>
  </si>
  <si>
    <t>Battery Electricity selling price</t>
  </si>
  <si>
    <t>Battery operating costs per year</t>
  </si>
  <si>
    <t>Battery emissions savings per year</t>
  </si>
  <si>
    <t>t CO2e/MWh/yr</t>
  </si>
  <si>
    <t>Assuming full discharge each day and displacing dirty energy</t>
  </si>
  <si>
    <t>Battery energy annual revenue</t>
  </si>
  <si>
    <t>$/MWh/yr</t>
  </si>
  <si>
    <t>Arbitrage earnings</t>
  </si>
  <si>
    <t>Battery power annual revenue</t>
  </si>
  <si>
    <t>$/MW/yr</t>
  </si>
  <si>
    <t>Capacity credits</t>
  </si>
  <si>
    <t>Biogas</t>
  </si>
  <si>
    <t>Biogas generator capacity</t>
  </si>
  <si>
    <t>Capacity factor - biogas generator</t>
  </si>
  <si>
    <t>From specifications from supplier</t>
  </si>
  <si>
    <t>Installed cost per GJ/hr</t>
  </si>
  <si>
    <t>$/GJ/hr</t>
  </si>
  <si>
    <t>From quote from supplier</t>
  </si>
  <si>
    <t>Biogas revenue per GJ sold</t>
  </si>
  <si>
    <t>$/GJ</t>
  </si>
  <si>
    <t>Find this figure from prospective customers or other market sources.</t>
  </si>
  <si>
    <t>Biogas annual operating/maintenance cost</t>
  </si>
  <si>
    <t>Based on supplier maintenance recommendations and market prices.</t>
  </si>
  <si>
    <t>13. In-kind contributions</t>
  </si>
  <si>
    <t>An “in-kind” contribution is a non-cash donation of goods, services, or time that holds measurable value.</t>
  </si>
  <si>
    <t>From Applicant</t>
  </si>
  <si>
    <t>Materials or goods</t>
  </si>
  <si>
    <t>Contribution (description of goods to be provided)</t>
  </si>
  <si>
    <t>Value in $</t>
  </si>
  <si>
    <t>Total</t>
  </si>
  <si>
    <t>Labour or time-based services</t>
  </si>
  <si>
    <t>Role or contribution (description of services to be provided)</t>
  </si>
  <si>
    <t>Hours</t>
  </si>
  <si>
    <t>Rate $/hr</t>
  </si>
  <si>
    <t>Total from applicant</t>
  </si>
  <si>
    <t>From others</t>
  </si>
  <si>
    <t>Contribution (description of services to be provided)</t>
  </si>
  <si>
    <t>Total from others</t>
  </si>
  <si>
    <t>Total from all sources</t>
  </si>
  <si>
    <t>Number</t>
  </si>
  <si>
    <t>Recipient's deliverables</t>
  </si>
  <si>
    <t>In-kind expenditure $</t>
  </si>
  <si>
    <t>Eligible expenditure $</t>
  </si>
  <si>
    <t>Grant payment $</t>
  </si>
  <si>
    <t xml:space="preserve"> Completion date</t>
  </si>
  <si>
    <t>Notes</t>
  </si>
  <si>
    <t>15 Charts</t>
  </si>
  <si>
    <t xml:space="preserve">16. Eligible costs include:
</t>
  </si>
  <si>
    <t>a)   </t>
  </si>
  <si>
    <t>b)   </t>
  </si>
  <si>
    <t>essential enabling equipment including batteries, other forms of energy storage, system control equipment, system power or energy conversion equipment, monitoring or communications equipment and structures used for housing power-system equipment;</t>
  </si>
  <si>
    <t>c)   </t>
  </si>
  <si>
    <t>essential non-equipment expenditure including design, professional services, transport, installation and commissioning related to the attainment of a project objective or milestone; and</t>
  </si>
  <si>
    <t>d)   </t>
  </si>
  <si>
    <t>project management costs and grant administration costs.</t>
  </si>
  <si>
    <t xml:space="preserve">Generally ineligible costs include:
</t>
  </si>
  <si>
    <t>land acquisition;</t>
  </si>
  <si>
    <t>venture capital extended to third parties;</t>
  </si>
  <si>
    <t>purchase of carbon credits;</t>
  </si>
  <si>
    <t>legal costs such as those associated with preparing grant applications, finalising, or managing compliance with a funding agreement;</t>
  </si>
  <si>
    <t>e)   </t>
  </si>
  <si>
    <t>costs associated with core business or business-as-usual activities;</t>
  </si>
  <si>
    <t>f)    </t>
  </si>
  <si>
    <t>ongoing administrative and operational costs including rent, electricity and salaries of existing staff working their usual hours and duties;</t>
  </si>
  <si>
    <t>g)   </t>
  </si>
  <si>
    <t>works already financially committed, underway or completed when the funding round closes (including but not limited to contracts already in place to construct infrastructure or buy equipment or where construction has commenced);</t>
  </si>
  <si>
    <t>h)   </t>
  </si>
  <si>
    <t>ongoing maintenance of projects to which organisations have committed as part of a previous grant; and</t>
  </si>
  <si>
    <t>i)    </t>
  </si>
  <si>
    <t>costs of preparing applications, reports or associated supporting material for the purposes of applying for the Funding or entering this Agreement.</t>
  </si>
  <si>
    <t xml:space="preserve">An in-kind contribution is any non-monetary contribution of goods or services for the project by the applicant. Eligible in-kind contributions from the applicant can cover any of the listed types of eligible project costs.
</t>
  </si>
  <si>
    <t xml:space="preserve">Applicants must provide sufficient detail of proposed in-kind contributions to enable assessment of whether the valuation is reasonable. This is elaborated further in the Financial Model template. 
</t>
  </si>
  <si>
    <t>The above lists identify the most common examples of eligible and ineligible costs and are not intended to be comprehensive. Assessment of eligible costs may depend on a project’s specific circumstances. For further advice on eligibility of costs, please contact:</t>
  </si>
  <si>
    <t>ceff@dwer.wa.gov.au</t>
  </si>
  <si>
    <t>This page provided for your calculations. Link outputs from your calculations to the Financial model or other tabs as needed.</t>
  </si>
  <si>
    <t>Emissions projections from Australian Government</t>
  </si>
  <si>
    <t>Appendix D: Projected emissions factors for Australia’s
electricity grid in the baseline scenario</t>
  </si>
  <si>
    <t>Table 46 and Table 47 contain emission factors for Australia’s electricity grid in the baseline scenario, consistent with the results presented in the electricity
chapter of this report.
Table 46 Indirect scope 2 emissions(71) factors in the baseline scenario, tonnes CO2-e per MWh</t>
  </si>
  <si>
    <r>
      <rPr>
        <sz val="9"/>
        <rFont val="Calibri"/>
        <family val="2"/>
      </rPr>
      <t>Australia, all grid connected</t>
    </r>
  </si>
  <si>
    <r>
      <rPr>
        <sz val="9"/>
        <rFont val="Calibri"/>
        <family val="2"/>
      </rPr>
      <t>National Electricity Market</t>
    </r>
  </si>
  <si>
    <r>
      <rPr>
        <sz val="9"/>
        <rFont val="Calibri"/>
        <family val="2"/>
      </rPr>
      <t>NSW/ACT</t>
    </r>
  </si>
  <si>
    <r>
      <rPr>
        <sz val="9"/>
        <rFont val="Calibri"/>
        <family val="2"/>
      </rPr>
      <t>Queensland</t>
    </r>
  </si>
  <si>
    <r>
      <rPr>
        <sz val="9"/>
        <rFont val="Calibri"/>
        <family val="2"/>
      </rPr>
      <t>South Australia</t>
    </r>
  </si>
  <si>
    <r>
      <rPr>
        <sz val="9"/>
        <rFont val="Calibri"/>
        <family val="2"/>
      </rPr>
      <t>Victoria</t>
    </r>
  </si>
  <si>
    <r>
      <rPr>
        <sz val="9"/>
        <rFont val="Calibri"/>
        <family val="2"/>
      </rPr>
      <t>Tasmania</t>
    </r>
  </si>
  <si>
    <r>
      <rPr>
        <sz val="9"/>
        <rFont val="Calibri"/>
        <family val="2"/>
      </rPr>
      <t xml:space="preserve">Western Australia’s Wholesale Electricity
</t>
    </r>
    <r>
      <rPr>
        <sz val="9"/>
        <rFont val="Calibri"/>
        <family val="2"/>
      </rPr>
      <t>Market</t>
    </r>
  </si>
  <si>
    <r>
      <rPr>
        <sz val="9"/>
        <rFont val="Calibri"/>
        <family val="2"/>
      </rPr>
      <t>North West Interconnected System</t>
    </r>
  </si>
  <si>
    <r>
      <rPr>
        <sz val="9"/>
        <rFont val="Calibri"/>
        <family val="2"/>
      </rPr>
      <t>Darwin-Katherine Interconnected System</t>
    </r>
  </si>
  <si>
    <r>
      <rPr>
        <vertAlign val="superscript"/>
        <sz val="10"/>
        <rFont val="Calibri"/>
        <family val="2"/>
      </rPr>
      <t>71</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t>
    </r>
  </si>
  <si>
    <r>
      <rPr>
        <b/>
        <vertAlign val="superscript"/>
        <sz val="12"/>
        <rFont val="Calibri"/>
        <family val="2"/>
      </rPr>
      <t>Table 47 Indirect scope 2 and 3 combined emissions(72) factors in the baseline scenario, tonnes CO</t>
    </r>
    <r>
      <rPr>
        <b/>
        <vertAlign val="superscript"/>
        <sz val="8"/>
        <rFont val="Calibri"/>
        <family val="2"/>
      </rPr>
      <t>2</t>
    </r>
    <r>
      <rPr>
        <b/>
        <vertAlign val="superscript"/>
        <sz val="12"/>
        <rFont val="Calibri"/>
        <family val="2"/>
      </rPr>
      <t>-e per MWh</t>
    </r>
  </si>
  <si>
    <r>
      <rPr>
        <sz val="9"/>
        <rFont val="Calibri"/>
        <family val="2"/>
      </rPr>
      <t>NSW/ACTACT</t>
    </r>
  </si>
  <si>
    <r>
      <rPr>
        <sz val="9"/>
        <rFont val="Calibri"/>
        <family val="2"/>
      </rPr>
      <t>Western Australia’s Wholesale Electricity Market</t>
    </r>
  </si>
  <si>
    <r>
      <rPr>
        <vertAlign val="superscript"/>
        <sz val="10"/>
        <rFont val="Calibri"/>
        <family val="2"/>
      </rPr>
      <t>72</t>
    </r>
    <r>
      <rPr>
        <sz val="10"/>
        <rFont val="Calibri"/>
        <family val="2"/>
      </rPr>
      <t xml:space="preserve"> Scope 2 emissions are from the generation of the electricity purchased and consumed by an organisation. Scope 2 emissions are physically produced by the burning of fuels (coal, natural gas, etc.) at the power station. Scope 3 emissions are indirect emissions from the extraction, production and transport of fuel burned at generation and the indirect emissions attributable to the electricity lost in delivery in the Transmission and Distribution network.</t>
    </r>
  </si>
  <si>
    <r>
      <rPr>
        <sz val="10"/>
        <rFont val="Calibri"/>
        <family val="2"/>
      </rPr>
      <t xml:space="preserve"> (Source: </t>
    </r>
    <r>
      <rPr>
        <u/>
        <sz val="10"/>
        <color rgb="FF165687"/>
        <rFont val="Calibri"/>
        <family val="2"/>
      </rPr>
      <t>National Greenhouse Accounts Factors 2023</t>
    </r>
    <r>
      <rPr>
        <sz val="10"/>
        <rFont val="Calibri"/>
        <family val="2"/>
      </rPr>
      <t>)</t>
    </r>
  </si>
  <si>
    <t>Term/Unit</t>
  </si>
  <si>
    <t>Meaning</t>
  </si>
  <si>
    <t>Australian dollars</t>
  </si>
  <si>
    <t>Dollars per year</t>
  </si>
  <si>
    <t>/yr</t>
  </si>
  <si>
    <t>Per year - meaning each year. For example energy consumption of 5,000 MWh/yr</t>
  </si>
  <si>
    <t>ACCU</t>
  </si>
  <si>
    <t>Australian Carbon Credit Units</t>
  </si>
  <si>
    <t>CCUS</t>
  </si>
  <si>
    <t>Carbon Capture, Use and Storage</t>
  </si>
  <si>
    <t>CEFF</t>
  </si>
  <si>
    <t>The Clean Energy Future Fund</t>
  </si>
  <si>
    <t>GJ</t>
  </si>
  <si>
    <t>Gigajoules of energy</t>
  </si>
  <si>
    <t>Abbreviation - hectare - unit of area</t>
  </si>
  <si>
    <t>IRR</t>
  </si>
  <si>
    <t>Internal rate of return - measures the financial return from doing the project</t>
  </si>
  <si>
    <t>kL</t>
  </si>
  <si>
    <t>Kilolitres 1 kL equals one cubic metre.</t>
  </si>
  <si>
    <t xml:space="preserve">Kilolitres per year. </t>
  </si>
  <si>
    <t>Megawatts of electricity</t>
  </si>
  <si>
    <t>Megawatt hours of electricity</t>
  </si>
  <si>
    <t>NGAF</t>
  </si>
  <si>
    <t>Australian National Greenhouse Accounts Factors</t>
  </si>
  <si>
    <t>NGERS</t>
  </si>
  <si>
    <t>National Greenhouse and Energy Reporting Scheme</t>
  </si>
  <si>
    <t>NPV</t>
  </si>
  <si>
    <t>Net Present Value - the value in current dollars of the project</t>
  </si>
  <si>
    <t>Payback</t>
  </si>
  <si>
    <t>The number of years until a project has earned its construction cost.</t>
  </si>
  <si>
    <t>Scope 1</t>
  </si>
  <si>
    <t>Greenhouse gas emissions released to the atmosphere as a direct result of an activity</t>
  </si>
  <si>
    <t>Scope 2</t>
  </si>
  <si>
    <t>Indirect greenhouse gas emissions released to the atmosphere from the consumption of an energy commodity</t>
  </si>
  <si>
    <t>Scope 3</t>
  </si>
  <si>
    <t>Indirect greenhouse gas emissions other than scope 2 emissions that are generated in the wider economy</t>
  </si>
  <si>
    <t>SMC</t>
  </si>
  <si>
    <t>Safeguard Mechanism Credits - proposed tradeable credits for exceeding Safeguard Mechanism targets.</t>
  </si>
  <si>
    <t>t</t>
  </si>
  <si>
    <t>Tonnes</t>
  </si>
  <si>
    <t>Tonnes of carbon dioxide equivalent greenhouse gas emissions</t>
  </si>
  <si>
    <t>Tonnes per year</t>
  </si>
  <si>
    <t>Tonnes per hour</t>
  </si>
  <si>
    <t>In-kind value</t>
  </si>
  <si>
    <t>As detailed on the In-kind tab.</t>
  </si>
  <si>
    <t>Weighted average cost of capital (without CEFF)</t>
  </si>
  <si>
    <t>Weighted average cost of capital (WACC) with CEFF</t>
  </si>
  <si>
    <t xml:space="preserve">Because  we are using current year dollars for all money amounts, we avoiding working with inflation. But interest rates you see quoted by banks, investors etc. are nominal rates and include inflation. This means you need to subtract your view of inflation from the quoted rates. For example, if a bank will lend you money at 9% nominal rate and you believe inflation will be around 3%, then the real rate would be 9-3 = 6%. Inputs and outputs from this financial model are real rates. </t>
  </si>
  <si>
    <t>Light green cells are populated by formulae in row 3.</t>
  </si>
  <si>
    <t>If this table does not work in your version of Excel, ignore it. It will not affect the scoring of your project.</t>
  </si>
  <si>
    <t>1. Assumptions</t>
  </si>
  <si>
    <t>2.  Construction or capital costs</t>
  </si>
  <si>
    <t>3.  Timing impacts</t>
  </si>
  <si>
    <t>4.  Operating inputs or costs</t>
  </si>
  <si>
    <t>5.  Operating outputs or savings</t>
  </si>
  <si>
    <t>6.  End of life</t>
  </si>
  <si>
    <t>7.  Net benefits (outputs less inputs)</t>
  </si>
  <si>
    <t>8.  Cashflow</t>
  </si>
  <si>
    <t>9.  Funding</t>
  </si>
  <si>
    <t>10.  CEFF parameters</t>
  </si>
  <si>
    <t>11.  Validation</t>
  </si>
  <si>
    <t>12.  Project summary</t>
  </si>
  <si>
    <t>2. Construction or capital inputs</t>
  </si>
  <si>
    <t>3. Timing impacts</t>
  </si>
  <si>
    <t>4. Operating inputs or costs</t>
  </si>
  <si>
    <t>5. Operating outputs or savings</t>
  </si>
  <si>
    <t>6. End of Life</t>
  </si>
  <si>
    <t>7. Net Values</t>
  </si>
  <si>
    <t>8. Cashflow</t>
  </si>
  <si>
    <t>9. Funding</t>
  </si>
  <si>
    <t>11. Validation</t>
  </si>
  <si>
    <t>12. Project summary</t>
  </si>
  <si>
    <t>A1</t>
  </si>
  <si>
    <t>A4</t>
  </si>
  <si>
    <t>A40</t>
  </si>
  <si>
    <t>A50</t>
  </si>
  <si>
    <t>A73</t>
  </si>
  <si>
    <t>A103</t>
  </si>
  <si>
    <t>A110</t>
  </si>
  <si>
    <t>10. CEFF parameters</t>
  </si>
  <si>
    <t>Other (overwrite to describe)</t>
  </si>
  <si>
    <t>Other operating costs (overwrite to describe)</t>
  </si>
  <si>
    <t>Other inputs (overwrite to describe)</t>
  </si>
  <si>
    <t>capital costs necessary for the project</t>
  </si>
  <si>
    <t>Battery Reserve Capacity Payments</t>
  </si>
  <si>
    <t>Battery retained capacity by year</t>
  </si>
  <si>
    <t>Battery retained power by year</t>
  </si>
  <si>
    <t>Battery round trip efficiency</t>
  </si>
  <si>
    <t>Industry estimate, use your battery's specs.</t>
  </si>
  <si>
    <t>Battery Refresh</t>
  </si>
  <si>
    <t>Second (refresh) battery retained capacity by year</t>
  </si>
  <si>
    <t>Refresh Battery - energy</t>
  </si>
  <si>
    <t>Refresh Battery - power</t>
  </si>
  <si>
    <t>Cross-module assumptions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</si>
</sst>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8" formatCode="&quot;$&quot;#,##0.00;[Red]\-&quot;$&quot;#,##0.00"/>
    <numFmt numFmtId="43" formatCode="_-* #,##0.00_-;\-* #,##0.00_-;_-* &quot;-&quot;??_-;_-@_-"/>
    <numFmt numFmtId="164" formatCode="0.0%"/>
    <numFmt numFmtId="165" formatCode="&quot;$&quot;#,##0;[Red]\-&quot;$&quot;#,##0;"/>
    <numFmt numFmtId="166" formatCode="_-* #,##0_-;\-* #,##0_-;_-* &quot;-&quot;??_-;_-@_-"/>
    <numFmt numFmtId="167" formatCode="&quot;$&quot;#,##0;[Red]\-&quot;$&quot;#,##0;;"/>
    <numFmt numFmtId="168" formatCode="#,##0;\-#,##0;;"/>
    <numFmt numFmtId="169" formatCode="&quot;$&quot;#,##0"/>
    <numFmt numFmtId="170" formatCode="&quot;$&quot;#,##0.00"/>
    <numFmt numFmtId="171" formatCode="#,##0;[Red]\-#,##0;;"/>
    <numFmt numFmtId="172" formatCode="#,##0.00;[Red]\-#,##0.00;"/>
    <numFmt numFmtId="173" formatCode="0.0000"/>
    <numFmt numFmtId="174" formatCode="0.000"/>
    <numFmt numFmtId="175" formatCode="#,##0;[Red]\-#,##0;"/>
    <numFmt numFmtId="176" formatCode="&quot;$&quot;#,##0.00;[Red]\-&quot;$&quot;#,##0.00;"/>
    <numFmt numFmtId="177" formatCode="&quot;$&quot;#,##0.0"/>
    <numFmt numFmtId="178" formatCode="[$-C09]dd\-mmm\-yy;@"/>
    <numFmt numFmtId="179" formatCode="0.0%;\-0.0%;"/>
    <numFmt numFmtId="180" formatCode="mmm\ yyyy"/>
    <numFmt numFmtId="181" formatCode="mmmm"/>
    <numFmt numFmtId="182" formatCode="yyyy"/>
    <numFmt numFmtId="183" formatCode="_-&quot;$&quot;* #,##0_-;\-&quot;$&quot;* #,##0_-;_-&quot;$&quot;* &quot;-&quot;??_-;_-@_-"/>
  </numFmts>
  <fonts count="3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sz val="9"/>
      <color indexed="81"/>
      <name val="Tahoma"/>
      <family val="2"/>
    </font>
    <font>
      <b/>
      <sz val="9"/>
      <color indexed="81"/>
      <name val="Tahoma"/>
      <family val="2"/>
    </font>
    <font>
      <b/>
      <sz val="16"/>
      <color theme="1"/>
      <name val="Calibri"/>
      <family val="2"/>
      <scheme val="minor"/>
    </font>
    <font>
      <sz val="8"/>
      <name val="Calibri"/>
      <family val="2"/>
      <scheme val="minor"/>
    </font>
    <font>
      <u/>
      <sz val="11"/>
      <color theme="10"/>
      <name val="Calibri"/>
      <family val="2"/>
      <scheme val="minor"/>
    </font>
    <font>
      <sz val="10"/>
      <name val="Arial"/>
      <family val="2"/>
    </font>
    <font>
      <sz val="10"/>
      <color rgb="FF000000"/>
      <name val="Calibri"/>
      <family val="2"/>
      <scheme val="minor"/>
    </font>
    <font>
      <sz val="18"/>
      <color theme="1"/>
      <name val="Calibri"/>
      <family val="2"/>
      <scheme val="minor"/>
    </font>
    <font>
      <b/>
      <sz val="12"/>
      <color theme="1"/>
      <name val="Calibri"/>
      <family val="2"/>
      <scheme val="minor"/>
    </font>
    <font>
      <b/>
      <sz val="11"/>
      <color theme="1"/>
      <name val="Calibri"/>
      <family val="2"/>
    </font>
    <font>
      <sz val="11"/>
      <color theme="1"/>
      <name val="Calibri"/>
      <family val="2"/>
    </font>
    <font>
      <sz val="11"/>
      <color theme="1"/>
      <name val="Arial"/>
      <family val="2"/>
    </font>
    <font>
      <sz val="11"/>
      <color rgb="FF000000"/>
      <name val="Arial"/>
      <family val="2"/>
    </font>
    <font>
      <b/>
      <sz val="11"/>
      <color theme="1"/>
      <name val="Arial"/>
      <family val="2"/>
    </font>
    <font>
      <b/>
      <sz val="18"/>
      <color theme="1"/>
      <name val="Arial"/>
      <family val="2"/>
    </font>
    <font>
      <sz val="10"/>
      <color rgb="FF000000"/>
      <name val="Times New Roman"/>
      <family val="1"/>
    </font>
    <font>
      <sz val="12"/>
      <color theme="1"/>
      <name val="Calibri"/>
      <family val="2"/>
      <scheme val="minor"/>
    </font>
    <font>
      <b/>
      <sz val="20"/>
      <color theme="1"/>
      <name val="Calibri"/>
      <family val="2"/>
      <scheme val="minor"/>
    </font>
    <font>
      <sz val="11"/>
      <name val="Calibri"/>
      <family val="2"/>
      <scheme val="minor"/>
    </font>
    <font>
      <sz val="12"/>
      <name val="Calibri"/>
      <family val="2"/>
      <scheme val="minor"/>
    </font>
    <font>
      <b/>
      <sz val="18"/>
      <color theme="1"/>
      <name val="Calibri"/>
      <family val="2"/>
      <scheme val="minor"/>
    </font>
    <font>
      <sz val="10"/>
      <color rgb="FF000000"/>
      <name val="Times New Roman"/>
      <family val="1"/>
    </font>
    <font>
      <vertAlign val="superscript"/>
      <sz val="10"/>
      <name val="Calibri"/>
      <family val="2"/>
    </font>
    <font>
      <sz val="10"/>
      <name val="Calibri"/>
      <family val="2"/>
    </font>
    <font>
      <u/>
      <sz val="10"/>
      <color rgb="FF165687"/>
      <name val="Calibri"/>
      <family val="2"/>
    </font>
    <font>
      <sz val="9"/>
      <color rgb="FF000000"/>
      <name val="Calibri"/>
      <family val="2"/>
    </font>
    <font>
      <sz val="9"/>
      <name val="Calibri"/>
      <family val="2"/>
    </font>
    <font>
      <b/>
      <sz val="9"/>
      <color rgb="FF000000"/>
      <name val="Calibri"/>
      <family val="2"/>
    </font>
    <font>
      <b/>
      <vertAlign val="superscript"/>
      <sz val="12"/>
      <name val="Calibri"/>
      <family val="2"/>
    </font>
    <font>
      <b/>
      <vertAlign val="superscript"/>
      <sz val="8"/>
      <name val="Calibri"/>
      <family val="2"/>
    </font>
    <font>
      <sz val="10"/>
      <name val="Calibri"/>
      <family val="2"/>
    </font>
    <font>
      <b/>
      <vertAlign val="superscript"/>
      <sz val="10"/>
      <name val="Calibri"/>
      <family val="2"/>
    </font>
    <font>
      <sz val="10"/>
      <color rgb="FF000000"/>
      <name val="Calibri"/>
      <family val="2"/>
    </font>
    <font>
      <b/>
      <sz val="16"/>
      <color rgb="FF000000"/>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rgb="FFE7E6E6"/>
        <bgColor rgb="FFE7E6E6"/>
      </patternFill>
    </fill>
    <fill>
      <patternFill patternType="solid">
        <fgColor theme="0"/>
        <bgColor theme="0"/>
      </patternFill>
    </fill>
    <fill>
      <patternFill patternType="solid">
        <fgColor rgb="FFA8D08D"/>
        <bgColor rgb="FFA8D08D"/>
      </patternFill>
    </fill>
    <fill>
      <patternFill patternType="solid">
        <fgColor theme="7"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s>
  <borders count="81">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right/>
      <top style="thin">
        <color rgb="FF000000"/>
      </top>
      <bottom style="thin">
        <color rgb="FF000000"/>
      </bottom>
      <diagonal/>
    </border>
    <border>
      <left style="medium">
        <color indexed="64"/>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0"/>
    <xf numFmtId="0" fontId="10" fillId="0" borderId="0"/>
    <xf numFmtId="9" fontId="10" fillId="0" borderId="0" applyFont="0" applyFill="0" applyBorder="0" applyAlignment="0" applyProtection="0"/>
    <xf numFmtId="0" fontId="19" fillId="0" borderId="0"/>
    <xf numFmtId="0" fontId="8" fillId="0" borderId="0" applyNumberFormat="0" applyFill="0" applyBorder="0" applyAlignment="0" applyProtection="0"/>
    <xf numFmtId="0" fontId="25" fillId="0" borderId="0"/>
    <xf numFmtId="43" fontId="1" fillId="0" borderId="0" applyFont="0" applyFill="0" applyBorder="0" applyAlignment="0" applyProtection="0"/>
  </cellStyleXfs>
  <cellXfs count="937">
    <xf numFmtId="0" fontId="0" fillId="0" borderId="0" xfId="0"/>
    <xf numFmtId="0" fontId="0" fillId="2" borderId="9" xfId="0" applyFill="1" applyBorder="1"/>
    <xf numFmtId="0" fontId="0" fillId="0" borderId="14" xfId="0" applyBorder="1"/>
    <xf numFmtId="0" fontId="0" fillId="0" borderId="0" xfId="0" applyAlignment="1">
      <alignment wrapText="1"/>
    </xf>
    <xf numFmtId="6" fontId="0" fillId="4" borderId="9" xfId="0" applyNumberFormat="1" applyFill="1" applyBorder="1"/>
    <xf numFmtId="9" fontId="0" fillId="4" borderId="9" xfId="0" applyNumberFormat="1" applyFill="1" applyBorder="1"/>
    <xf numFmtId="0" fontId="0" fillId="4" borderId="9" xfId="0" applyFill="1" applyBorder="1"/>
    <xf numFmtId="164" fontId="0" fillId="4" borderId="14" xfId="1" applyNumberFormat="1" applyFont="1" applyFill="1" applyBorder="1"/>
    <xf numFmtId="0" fontId="0" fillId="0" borderId="9" xfId="0" applyBorder="1"/>
    <xf numFmtId="164" fontId="0" fillId="0" borderId="9" xfId="1" applyNumberFormat="1" applyFont="1" applyFill="1" applyBorder="1"/>
    <xf numFmtId="164" fontId="0" fillId="0" borderId="9" xfId="0" applyNumberFormat="1" applyBorder="1"/>
    <xf numFmtId="167" fontId="0" fillId="0" borderId="9" xfId="0" applyNumberFormat="1" applyBorder="1"/>
    <xf numFmtId="171" fontId="0" fillId="4" borderId="9" xfId="0" applyNumberFormat="1" applyFill="1" applyBorder="1"/>
    <xf numFmtId="9" fontId="0" fillId="0" borderId="0" xfId="0" applyNumberFormat="1"/>
    <xf numFmtId="164" fontId="0" fillId="2" borderId="9" xfId="1" applyNumberFormat="1" applyFont="1" applyFill="1" applyBorder="1"/>
    <xf numFmtId="164" fontId="0" fillId="4" borderId="9" xfId="1" applyNumberFormat="1" applyFont="1" applyFill="1" applyBorder="1"/>
    <xf numFmtId="0" fontId="0" fillId="0" borderId="9" xfId="0" applyBorder="1" applyAlignment="1">
      <alignment horizontal="center" wrapText="1"/>
    </xf>
    <xf numFmtId="0" fontId="0" fillId="0" borderId="7" xfId="0" applyBorder="1" applyAlignment="1">
      <alignment horizontal="center" wrapText="1"/>
    </xf>
    <xf numFmtId="0" fontId="0" fillId="0" borderId="0" xfId="0" applyAlignment="1">
      <alignment horizontal="center"/>
    </xf>
    <xf numFmtId="0" fontId="0" fillId="3" borderId="9" xfId="0" applyFill="1" applyBorder="1" applyAlignment="1">
      <alignment horizontal="center" wrapText="1"/>
    </xf>
    <xf numFmtId="0" fontId="0" fillId="4" borderId="9" xfId="0" applyFill="1" applyBorder="1" applyAlignment="1">
      <alignment horizontal="center" wrapText="1"/>
    </xf>
    <xf numFmtId="0" fontId="0" fillId="5" borderId="23" xfId="0" applyFill="1" applyBorder="1"/>
    <xf numFmtId="0" fontId="0" fillId="5" borderId="42" xfId="0" applyFill="1" applyBorder="1"/>
    <xf numFmtId="0" fontId="0" fillId="5" borderId="34" xfId="0" applyFill="1" applyBorder="1"/>
    <xf numFmtId="0" fontId="0" fillId="0" borderId="24" xfId="0" applyBorder="1"/>
    <xf numFmtId="164" fontId="8" fillId="0" borderId="14" xfId="3" applyNumberFormat="1" applyFill="1" applyBorder="1" applyAlignment="1">
      <alignment horizontal="left"/>
    </xf>
    <xf numFmtId="175" fontId="0" fillId="2" borderId="9" xfId="0" applyNumberFormat="1" applyFill="1" applyBorder="1"/>
    <xf numFmtId="175" fontId="0" fillId="4" borderId="9" xfId="0" applyNumberFormat="1" applyFill="1" applyBorder="1"/>
    <xf numFmtId="0" fontId="0" fillId="2" borderId="9" xfId="0" applyFill="1" applyBorder="1" applyAlignment="1">
      <alignment vertical="top"/>
    </xf>
    <xf numFmtId="171" fontId="0" fillId="3" borderId="47" xfId="0" applyNumberFormat="1" applyFill="1" applyBorder="1"/>
    <xf numFmtId="6" fontId="0" fillId="0" borderId="9" xfId="0" applyNumberFormat="1" applyBorder="1"/>
    <xf numFmtId="0" fontId="11" fillId="0" borderId="0" xfId="0" applyFont="1"/>
    <xf numFmtId="0" fontId="0" fillId="0" borderId="16" xfId="0" applyBorder="1"/>
    <xf numFmtId="0" fontId="15" fillId="7" borderId="0" xfId="0" applyFont="1" applyFill="1"/>
    <xf numFmtId="0" fontId="15" fillId="8" borderId="9" xfId="0" applyFont="1" applyFill="1" applyBorder="1" applyAlignment="1">
      <alignment horizontal="center" vertical="center"/>
    </xf>
    <xf numFmtId="0" fontId="15" fillId="0" borderId="7" xfId="0" applyFont="1" applyBorder="1" applyAlignment="1">
      <alignment horizontal="center" vertical="center"/>
    </xf>
    <xf numFmtId="0" fontId="15" fillId="8" borderId="38" xfId="0" applyFont="1" applyFill="1" applyBorder="1" applyAlignment="1">
      <alignment horizontal="center" vertical="center"/>
    </xf>
    <xf numFmtId="0" fontId="15" fillId="7" borderId="51" xfId="0" applyFont="1" applyFill="1" applyBorder="1" applyAlignment="1">
      <alignment horizontal="center" vertical="center"/>
    </xf>
    <xf numFmtId="177" fontId="15" fillId="0" borderId="0" xfId="0" applyNumberFormat="1" applyFont="1" applyAlignment="1">
      <alignment horizontal="center" vertical="center"/>
    </xf>
    <xf numFmtId="0" fontId="15" fillId="7" borderId="0" xfId="0" applyFont="1" applyFill="1" applyAlignment="1">
      <alignment vertical="center"/>
    </xf>
    <xf numFmtId="0" fontId="16" fillId="8" borderId="9" xfId="0" applyFont="1" applyFill="1" applyBorder="1" applyAlignment="1">
      <alignment vertical="center" wrapText="1"/>
    </xf>
    <xf numFmtId="0" fontId="16" fillId="8" borderId="9" xfId="0" applyFont="1" applyFill="1" applyBorder="1" applyAlignment="1">
      <alignment horizontal="center" vertical="center"/>
    </xf>
    <xf numFmtId="0" fontId="16" fillId="8" borderId="9" xfId="0" applyFont="1" applyFill="1" applyBorder="1" applyAlignment="1">
      <alignment horizontal="left" vertical="center" wrapText="1"/>
    </xf>
    <xf numFmtId="0" fontId="15" fillId="8" borderId="9" xfId="0" applyFont="1" applyFill="1" applyBorder="1" applyAlignment="1">
      <alignment vertical="center" wrapText="1"/>
    </xf>
    <xf numFmtId="0" fontId="15" fillId="8" borderId="38" xfId="0" applyFont="1" applyFill="1" applyBorder="1" applyAlignment="1">
      <alignment vertical="center" wrapText="1"/>
    </xf>
    <xf numFmtId="0" fontId="15" fillId="0" borderId="0" xfId="0" applyFont="1" applyAlignment="1">
      <alignment vertical="center"/>
    </xf>
    <xf numFmtId="0" fontId="15" fillId="7" borderId="22" xfId="0" applyFont="1" applyFill="1" applyBorder="1" applyAlignment="1">
      <alignment vertical="center"/>
    </xf>
    <xf numFmtId="0" fontId="15" fillId="8" borderId="10" xfId="0" applyFont="1" applyFill="1" applyBorder="1" applyAlignment="1">
      <alignment vertical="center" wrapText="1"/>
    </xf>
    <xf numFmtId="0" fontId="14" fillId="8" borderId="10" xfId="0" applyFont="1" applyFill="1" applyBorder="1" applyAlignment="1">
      <alignment vertical="center" wrapText="1"/>
    </xf>
    <xf numFmtId="0" fontId="14" fillId="8" borderId="9"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horizontal="center" vertical="center"/>
    </xf>
    <xf numFmtId="0" fontId="16" fillId="8" borderId="39" xfId="0" applyFont="1" applyFill="1" applyBorder="1" applyAlignment="1">
      <alignment vertical="center" wrapText="1"/>
    </xf>
    <xf numFmtId="0" fontId="16" fillId="8" borderId="39" xfId="0" applyFont="1" applyFill="1" applyBorder="1" applyAlignment="1">
      <alignment horizontal="center" vertical="center"/>
    </xf>
    <xf numFmtId="0" fontId="15" fillId="7" borderId="50" xfId="0" applyFont="1" applyFill="1" applyBorder="1" applyAlignment="1">
      <alignment vertical="center" wrapText="1"/>
    </xf>
    <xf numFmtId="169" fontId="15" fillId="8" borderId="21" xfId="0" applyNumberFormat="1" applyFont="1" applyFill="1" applyBorder="1" applyAlignment="1">
      <alignment horizontal="right" vertical="center"/>
    </xf>
    <xf numFmtId="169" fontId="15" fillId="8" borderId="14" xfId="0" applyNumberFormat="1" applyFont="1" applyFill="1" applyBorder="1" applyAlignment="1">
      <alignment horizontal="right" vertical="center"/>
    </xf>
    <xf numFmtId="169" fontId="15" fillId="8" borderId="26" xfId="0" applyNumberFormat="1" applyFont="1" applyFill="1" applyBorder="1" applyAlignment="1">
      <alignment horizontal="right" vertical="center"/>
    </xf>
    <xf numFmtId="169" fontId="15" fillId="7" borderId="35" xfId="0" applyNumberFormat="1" applyFont="1" applyFill="1" applyBorder="1" applyAlignment="1">
      <alignment horizontal="right" vertical="center"/>
    </xf>
    <xf numFmtId="169" fontId="15" fillId="7" borderId="49" xfId="0" applyNumberFormat="1" applyFont="1" applyFill="1" applyBorder="1" applyAlignment="1">
      <alignment horizontal="right" vertical="center"/>
    </xf>
    <xf numFmtId="169" fontId="15" fillId="0" borderId="49" xfId="0" applyNumberFormat="1" applyFont="1" applyBorder="1" applyAlignment="1">
      <alignment horizontal="right" vertical="center"/>
    </xf>
    <xf numFmtId="169" fontId="15" fillId="0" borderId="16" xfId="0" applyNumberFormat="1" applyFont="1" applyBorder="1" applyAlignment="1">
      <alignment horizontal="right" vertical="center"/>
    </xf>
    <xf numFmtId="169" fontId="16" fillId="8" borderId="39" xfId="0" applyNumberFormat="1" applyFont="1" applyFill="1" applyBorder="1" applyAlignment="1">
      <alignment horizontal="center" vertical="center"/>
    </xf>
    <xf numFmtId="169" fontId="16" fillId="8" borderId="9" xfId="0" applyNumberFormat="1" applyFont="1" applyFill="1" applyBorder="1" applyAlignment="1">
      <alignment horizontal="center" vertical="center"/>
    </xf>
    <xf numFmtId="169" fontId="15" fillId="8" borderId="9" xfId="0" applyNumberFormat="1" applyFont="1" applyFill="1" applyBorder="1" applyAlignment="1">
      <alignment horizontal="center" vertical="center"/>
    </xf>
    <xf numFmtId="169" fontId="15" fillId="8" borderId="38" xfId="0" applyNumberFormat="1" applyFont="1" applyFill="1" applyBorder="1" applyAlignment="1">
      <alignment horizontal="center" vertical="center"/>
    </xf>
    <xf numFmtId="169" fontId="15" fillId="7" borderId="51" xfId="0" applyNumberFormat="1" applyFont="1" applyFill="1" applyBorder="1" applyAlignment="1">
      <alignment horizontal="center" vertical="center"/>
    </xf>
    <xf numFmtId="169" fontId="15" fillId="8" borderId="39" xfId="0" applyNumberFormat="1" applyFont="1" applyFill="1" applyBorder="1" applyAlignment="1">
      <alignment horizontal="center" vertical="center"/>
    </xf>
    <xf numFmtId="169" fontId="14" fillId="8" borderId="9" xfId="0" applyNumberFormat="1" applyFont="1" applyFill="1" applyBorder="1" applyAlignment="1">
      <alignment vertical="center"/>
    </xf>
    <xf numFmtId="169" fontId="15" fillId="0" borderId="7" xfId="0" applyNumberFormat="1" applyFont="1" applyBorder="1" applyAlignment="1">
      <alignment horizontal="center" vertical="center"/>
    </xf>
    <xf numFmtId="0" fontId="0" fillId="0" borderId="6" xfId="0" applyBorder="1"/>
    <xf numFmtId="167" fontId="0" fillId="0" borderId="0" xfId="0" applyNumberFormat="1"/>
    <xf numFmtId="0" fontId="0" fillId="3" borderId="47" xfId="0" applyFill="1" applyBorder="1" applyAlignment="1">
      <alignment horizontal="center" wrapText="1"/>
    </xf>
    <xf numFmtId="0" fontId="0" fillId="3" borderId="39" xfId="0" applyFill="1" applyBorder="1" applyAlignment="1">
      <alignment horizontal="center" wrapText="1"/>
    </xf>
    <xf numFmtId="15" fontId="0" fillId="4" borderId="9" xfId="0" applyNumberFormat="1" applyFill="1" applyBorder="1" applyAlignment="1">
      <alignment horizontal="right"/>
    </xf>
    <xf numFmtId="14" fontId="0" fillId="0" borderId="0" xfId="0" applyNumberFormat="1"/>
    <xf numFmtId="174" fontId="0" fillId="3" borderId="59" xfId="0" applyNumberFormat="1" applyFill="1" applyBorder="1" applyAlignment="1">
      <alignment wrapText="1"/>
    </xf>
    <xf numFmtId="173" fontId="0" fillId="3" borderId="59" xfId="0" applyNumberFormat="1" applyFill="1" applyBorder="1" applyAlignment="1">
      <alignment wrapText="1"/>
    </xf>
    <xf numFmtId="2" fontId="0" fillId="3" borderId="59" xfId="0" applyNumberFormat="1" applyFill="1" applyBorder="1" applyAlignment="1">
      <alignment wrapText="1"/>
    </xf>
    <xf numFmtId="0" fontId="0" fillId="3" borderId="59" xfId="0" applyFill="1" applyBorder="1"/>
    <xf numFmtId="0" fontId="0" fillId="3" borderId="34" xfId="0" applyFill="1" applyBorder="1"/>
    <xf numFmtId="0" fontId="0" fillId="0" borderId="31" xfId="0" applyBorder="1" applyAlignment="1">
      <alignment horizontal="center" wrapText="1"/>
    </xf>
    <xf numFmtId="164" fontId="0" fillId="0" borderId="14" xfId="1" applyNumberFormat="1" applyFont="1" applyFill="1" applyBorder="1"/>
    <xf numFmtId="9" fontId="0" fillId="4" borderId="9" xfId="1" applyFont="1" applyFill="1" applyBorder="1"/>
    <xf numFmtId="2" fontId="0" fillId="3" borderId="59" xfId="0" applyNumberFormat="1" applyFill="1" applyBorder="1"/>
    <xf numFmtId="174" fontId="0" fillId="3" borderId="23" xfId="0" applyNumberFormat="1" applyFill="1" applyBorder="1" applyAlignment="1">
      <alignment wrapText="1"/>
    </xf>
    <xf numFmtId="174" fontId="0" fillId="3" borderId="42" xfId="0" applyNumberFormat="1" applyFill="1" applyBorder="1" applyAlignment="1">
      <alignment wrapText="1"/>
    </xf>
    <xf numFmtId="173" fontId="0" fillId="3" borderId="42" xfId="0" applyNumberFormat="1" applyFill="1" applyBorder="1" applyAlignment="1">
      <alignment wrapText="1"/>
    </xf>
    <xf numFmtId="2" fontId="0" fillId="3" borderId="42" xfId="0" applyNumberFormat="1" applyFill="1" applyBorder="1" applyAlignment="1">
      <alignment wrapText="1"/>
    </xf>
    <xf numFmtId="166" fontId="0" fillId="0" borderId="0" xfId="2" applyNumberFormat="1" applyFont="1"/>
    <xf numFmtId="8" fontId="0" fillId="0" borderId="0" xfId="0" applyNumberFormat="1"/>
    <xf numFmtId="164" fontId="0" fillId="0" borderId="0" xfId="0" applyNumberFormat="1"/>
    <xf numFmtId="0" fontId="8" fillId="0" borderId="0" xfId="3"/>
    <xf numFmtId="2" fontId="0" fillId="0" borderId="0" xfId="0" applyNumberFormat="1"/>
    <xf numFmtId="0" fontId="0" fillId="4" borderId="9" xfId="0" applyFill="1" applyBorder="1" applyAlignment="1">
      <alignment horizontal="right"/>
    </xf>
    <xf numFmtId="0" fontId="0" fillId="0" borderId="10" xfId="0" applyBorder="1"/>
    <xf numFmtId="0" fontId="0" fillId="0" borderId="9" xfId="0" applyBorder="1" applyAlignment="1">
      <alignment horizontal="center"/>
    </xf>
    <xf numFmtId="0" fontId="0" fillId="3" borderId="9" xfId="0" applyFill="1" applyBorder="1" applyAlignment="1">
      <alignment horizontal="center"/>
    </xf>
    <xf numFmtId="0" fontId="12" fillId="9" borderId="25" xfId="0" applyFont="1" applyFill="1" applyBorder="1" applyAlignment="1">
      <alignment horizontal="center" textRotation="90" wrapText="1"/>
    </xf>
    <xf numFmtId="167" fontId="0" fillId="9" borderId="42" xfId="0" applyNumberFormat="1" applyFill="1" applyBorder="1"/>
    <xf numFmtId="170" fontId="0" fillId="9" borderId="22" xfId="0" applyNumberFormat="1" applyFill="1" applyBorder="1"/>
    <xf numFmtId="170" fontId="0" fillId="9" borderId="34" xfId="0" applyNumberFormat="1" applyFill="1" applyBorder="1"/>
    <xf numFmtId="170" fontId="0" fillId="9" borderId="0" xfId="0" applyNumberFormat="1" applyFill="1"/>
    <xf numFmtId="0" fontId="0" fillId="9" borderId="9" xfId="0" applyFill="1" applyBorder="1" applyAlignment="1">
      <alignment horizontal="center" wrapText="1"/>
    </xf>
    <xf numFmtId="0" fontId="0" fillId="9" borderId="7" xfId="0" applyFill="1" applyBorder="1" applyAlignment="1">
      <alignment horizontal="center" wrapText="1"/>
    </xf>
    <xf numFmtId="167" fontId="0" fillId="9" borderId="7" xfId="0" applyNumberFormat="1" applyFill="1" applyBorder="1"/>
    <xf numFmtId="170" fontId="0" fillId="9" borderId="33" xfId="0" applyNumberFormat="1" applyFill="1" applyBorder="1"/>
    <xf numFmtId="170" fontId="0" fillId="9" borderId="23" xfId="0" applyNumberFormat="1" applyFill="1" applyBorder="1" applyAlignment="1">
      <alignment wrapText="1"/>
    </xf>
    <xf numFmtId="170" fontId="0" fillId="9" borderId="42" xfId="0" applyNumberFormat="1" applyFill="1" applyBorder="1" applyAlignment="1">
      <alignment wrapText="1"/>
    </xf>
    <xf numFmtId="0" fontId="0" fillId="9" borderId="51" xfId="0" applyFill="1" applyBorder="1" applyAlignment="1">
      <alignment horizontal="center" wrapText="1"/>
    </xf>
    <xf numFmtId="171" fontId="0" fillId="9" borderId="51" xfId="0" applyNumberFormat="1" applyFill="1" applyBorder="1"/>
    <xf numFmtId="170" fontId="0" fillId="9" borderId="23" xfId="0" applyNumberFormat="1" applyFill="1" applyBorder="1"/>
    <xf numFmtId="170" fontId="0" fillId="9" borderId="42" xfId="0" applyNumberFormat="1" applyFill="1" applyBorder="1"/>
    <xf numFmtId="169" fontId="0" fillId="9" borderId="42" xfId="0" applyNumberFormat="1" applyFill="1" applyBorder="1"/>
    <xf numFmtId="171" fontId="0" fillId="9" borderId="7" xfId="0" applyNumberFormat="1" applyFill="1" applyBorder="1"/>
    <xf numFmtId="171" fontId="0" fillId="9" borderId="9" xfId="0" applyNumberFormat="1" applyFill="1" applyBorder="1"/>
    <xf numFmtId="0" fontId="13" fillId="6" borderId="60" xfId="0" applyFont="1" applyFill="1" applyBorder="1" applyAlignment="1">
      <alignment horizontal="center" vertical="center" wrapText="1"/>
    </xf>
    <xf numFmtId="0" fontId="13" fillId="6" borderId="29" xfId="0" applyFont="1" applyFill="1" applyBorder="1" applyAlignment="1">
      <alignment horizontal="left" vertical="center" wrapText="1"/>
    </xf>
    <xf numFmtId="0" fontId="0" fillId="0" borderId="13" xfId="0" applyBorder="1" applyAlignment="1">
      <alignment horizontal="center"/>
    </xf>
    <xf numFmtId="0" fontId="14" fillId="0" borderId="14" xfId="0" applyFont="1" applyBorder="1" applyAlignment="1">
      <alignment vertical="center" wrapText="1"/>
    </xf>
    <xf numFmtId="0" fontId="14" fillId="0" borderId="13" xfId="0" quotePrefix="1" applyFont="1" applyBorder="1" applyAlignment="1">
      <alignment horizontal="center" vertical="center" wrapText="1"/>
    </xf>
    <xf numFmtId="0" fontId="8" fillId="0" borderId="14" xfId="3" applyBorder="1"/>
    <xf numFmtId="0" fontId="14" fillId="7" borderId="14" xfId="0" applyFont="1" applyFill="1" applyBorder="1" applyAlignment="1">
      <alignment vertical="center" wrapText="1"/>
    </xf>
    <xf numFmtId="0" fontId="14" fillId="0" borderId="13" xfId="0" applyFont="1" applyBorder="1" applyAlignment="1">
      <alignment horizontal="center" vertical="center" wrapText="1"/>
    </xf>
    <xf numFmtId="0" fontId="8" fillId="0" borderId="14" xfId="3" applyFill="1" applyBorder="1" applyAlignment="1">
      <alignment vertical="center" wrapText="1"/>
    </xf>
    <xf numFmtId="0" fontId="8" fillId="0" borderId="14" xfId="3" applyBorder="1" applyAlignment="1">
      <alignment vertical="center" wrapText="1"/>
    </xf>
    <xf numFmtId="0" fontId="0" fillId="0" borderId="15" xfId="0" applyBorder="1" applyAlignment="1">
      <alignment horizontal="center"/>
    </xf>
    <xf numFmtId="0" fontId="0" fillId="0" borderId="0" xfId="0" applyAlignment="1">
      <alignment horizontal="center" wrapText="1"/>
    </xf>
    <xf numFmtId="0" fontId="0" fillId="2" borderId="14" xfId="0" applyFill="1" applyBorder="1"/>
    <xf numFmtId="0" fontId="0" fillId="2" borderId="14" xfId="0" applyFill="1" applyBorder="1" applyAlignment="1">
      <alignment vertical="top"/>
    </xf>
    <xf numFmtId="165" fontId="0" fillId="4" borderId="9" xfId="0" applyNumberFormat="1" applyFill="1" applyBorder="1"/>
    <xf numFmtId="0" fontId="0" fillId="4" borderId="10" xfId="0" applyFill="1" applyBorder="1"/>
    <xf numFmtId="167" fontId="0" fillId="0" borderId="6" xfId="0" applyNumberFormat="1" applyBorder="1"/>
    <xf numFmtId="167" fontId="0" fillId="9" borderId="38" xfId="0" applyNumberFormat="1" applyFill="1" applyBorder="1"/>
    <xf numFmtId="0" fontId="2" fillId="0" borderId="0" xfId="0" applyFont="1"/>
    <xf numFmtId="0" fontId="0" fillId="4" borderId="31" xfId="0" applyFill="1" applyBorder="1"/>
    <xf numFmtId="0" fontId="0" fillId="4" borderId="29" xfId="0" applyFill="1" applyBorder="1"/>
    <xf numFmtId="169" fontId="0" fillId="9" borderId="22" xfId="0" applyNumberFormat="1" applyFill="1" applyBorder="1"/>
    <xf numFmtId="174" fontId="0" fillId="3" borderId="63" xfId="0" applyNumberFormat="1" applyFill="1" applyBorder="1" applyAlignment="1">
      <alignment wrapText="1"/>
    </xf>
    <xf numFmtId="0" fontId="0" fillId="5" borderId="59" xfId="0" applyFill="1" applyBorder="1"/>
    <xf numFmtId="0" fontId="0" fillId="3" borderId="56" xfId="0" applyFill="1" applyBorder="1"/>
    <xf numFmtId="171" fontId="0" fillId="4" borderId="14" xfId="0" applyNumberFormat="1" applyFill="1" applyBorder="1"/>
    <xf numFmtId="0" fontId="6" fillId="0" borderId="0" xfId="0" applyFont="1" applyAlignment="1">
      <alignment horizontal="center" vertical="center" textRotation="90" wrapText="1"/>
    </xf>
    <xf numFmtId="170" fontId="0" fillId="0" borderId="0" xfId="0" applyNumberFormat="1"/>
    <xf numFmtId="0" fontId="0" fillId="4" borderId="31" xfId="0" applyFill="1" applyBorder="1" applyAlignment="1">
      <alignment wrapText="1"/>
    </xf>
    <xf numFmtId="171" fontId="0" fillId="3" borderId="36" xfId="0" applyNumberFormat="1" applyFill="1" applyBorder="1"/>
    <xf numFmtId="171" fontId="0" fillId="9" borderId="10" xfId="0" applyNumberFormat="1" applyFill="1" applyBorder="1"/>
    <xf numFmtId="171" fontId="0" fillId="4" borderId="31" xfId="0" applyNumberFormat="1" applyFill="1" applyBorder="1"/>
    <xf numFmtId="171" fontId="0" fillId="4" borderId="29" xfId="0" applyNumberFormat="1" applyFill="1" applyBorder="1"/>
    <xf numFmtId="0" fontId="0" fillId="5" borderId="31" xfId="0" applyFill="1" applyBorder="1" applyAlignment="1">
      <alignment horizontal="center" wrapText="1"/>
    </xf>
    <xf numFmtId="2" fontId="0" fillId="3" borderId="56" xfId="0" applyNumberFormat="1" applyFill="1" applyBorder="1" applyAlignment="1">
      <alignment wrapText="1"/>
    </xf>
    <xf numFmtId="2" fontId="0" fillId="3" borderId="34" xfId="0" applyNumberFormat="1" applyFill="1" applyBorder="1" applyAlignment="1">
      <alignment wrapText="1"/>
    </xf>
    <xf numFmtId="170" fontId="0" fillId="9" borderId="3" xfId="0" applyNumberFormat="1" applyFill="1" applyBorder="1"/>
    <xf numFmtId="0" fontId="0" fillId="5" borderId="64" xfId="0" applyFill="1" applyBorder="1"/>
    <xf numFmtId="174" fontId="0" fillId="3" borderId="67" xfId="0" applyNumberFormat="1" applyFill="1" applyBorder="1" applyAlignment="1">
      <alignment wrapText="1"/>
    </xf>
    <xf numFmtId="167" fontId="0" fillId="9" borderId="64" xfId="0" applyNumberFormat="1" applyFill="1" applyBorder="1"/>
    <xf numFmtId="171" fontId="0" fillId="3" borderId="52" xfId="0" applyNumberFormat="1" applyFill="1" applyBorder="1"/>
    <xf numFmtId="167" fontId="0" fillId="9" borderId="10" xfId="0" applyNumberFormat="1" applyFill="1" applyBorder="1"/>
    <xf numFmtId="9" fontId="0" fillId="4" borderId="14" xfId="1" applyFont="1" applyFill="1" applyBorder="1"/>
    <xf numFmtId="175" fontId="0" fillId="2" borderId="36" xfId="0" applyNumberFormat="1" applyFill="1" applyBorder="1"/>
    <xf numFmtId="170" fontId="0" fillId="9" borderId="59" xfId="0" applyNumberFormat="1" applyFill="1" applyBorder="1" applyAlignment="1">
      <alignment wrapText="1"/>
    </xf>
    <xf numFmtId="0" fontId="0" fillId="4" borderId="24" xfId="0" applyFill="1" applyBorder="1" applyAlignment="1">
      <alignment wrapText="1"/>
    </xf>
    <xf numFmtId="0" fontId="0" fillId="2" borderId="10" xfId="0" applyFill="1" applyBorder="1"/>
    <xf numFmtId="0" fontId="0" fillId="2" borderId="10" xfId="0" applyFill="1" applyBorder="1" applyAlignment="1">
      <alignment vertical="top"/>
    </xf>
    <xf numFmtId="9" fontId="0" fillId="4" borderId="10" xfId="1" applyFont="1" applyFill="1" applyBorder="1"/>
    <xf numFmtId="0" fontId="0" fillId="3" borderId="33" xfId="0" applyFill="1" applyBorder="1"/>
    <xf numFmtId="0" fontId="0" fillId="3" borderId="57" xfId="0" applyFill="1" applyBorder="1" applyAlignment="1">
      <alignment horizontal="center" wrapText="1"/>
    </xf>
    <xf numFmtId="0" fontId="0" fillId="3" borderId="43" xfId="0" applyFill="1" applyBorder="1" applyAlignment="1">
      <alignment horizontal="center" wrapText="1"/>
    </xf>
    <xf numFmtId="0" fontId="0" fillId="9" borderId="57" xfId="0" applyFill="1" applyBorder="1" applyAlignment="1">
      <alignment horizontal="center" wrapText="1"/>
    </xf>
    <xf numFmtId="0" fontId="0" fillId="0" borderId="69" xfId="0" applyBorder="1" applyAlignment="1">
      <alignment horizontal="center" wrapText="1"/>
    </xf>
    <xf numFmtId="0" fontId="0" fillId="0" borderId="3" xfId="0" applyBorder="1"/>
    <xf numFmtId="0" fontId="0" fillId="0" borderId="66" xfId="0" applyBorder="1"/>
    <xf numFmtId="171" fontId="0" fillId="3" borderId="23" xfId="0" applyNumberFormat="1" applyFill="1" applyBorder="1"/>
    <xf numFmtId="0" fontId="0" fillId="9" borderId="69" xfId="0" applyFill="1" applyBorder="1" applyAlignment="1">
      <alignment horizontal="center" wrapText="1"/>
    </xf>
    <xf numFmtId="0" fontId="0" fillId="9" borderId="43" xfId="0" applyFill="1" applyBorder="1" applyAlignment="1">
      <alignment horizontal="center" wrapText="1"/>
    </xf>
    <xf numFmtId="175" fontId="0" fillId="2" borderId="28" xfId="0" applyNumberFormat="1" applyFill="1" applyBorder="1"/>
    <xf numFmtId="175" fontId="0" fillId="4" borderId="28" xfId="0" applyNumberFormat="1" applyFill="1" applyBorder="1"/>
    <xf numFmtId="0" fontId="0" fillId="5" borderId="43" xfId="0" applyFill="1" applyBorder="1" applyAlignment="1">
      <alignment horizontal="center" wrapText="1"/>
    </xf>
    <xf numFmtId="0" fontId="12" fillId="3" borderId="53" xfId="0" applyFont="1" applyFill="1" applyBorder="1" applyAlignment="1">
      <alignment horizontal="center" textRotation="90" wrapText="1"/>
    </xf>
    <xf numFmtId="0" fontId="0" fillId="3" borderId="70" xfId="0" applyFill="1" applyBorder="1"/>
    <xf numFmtId="164" fontId="0" fillId="2" borderId="9" xfId="0" applyNumberFormat="1" applyFill="1" applyBorder="1"/>
    <xf numFmtId="0" fontId="0" fillId="0" borderId="10" xfId="0" applyBorder="1" applyAlignment="1">
      <alignment horizontal="left"/>
    </xf>
    <xf numFmtId="2" fontId="0" fillId="0" borderId="9" xfId="0" applyNumberFormat="1" applyBorder="1" applyAlignment="1">
      <alignment horizontal="center" vertical="center"/>
    </xf>
    <xf numFmtId="0" fontId="0" fillId="0" borderId="9" xfId="0" applyBorder="1" applyAlignment="1">
      <alignment horizontal="center" vertical="center" wrapText="1"/>
    </xf>
    <xf numFmtId="0" fontId="0" fillId="4" borderId="9" xfId="0" applyFill="1" applyBorder="1" applyAlignment="1">
      <alignment horizontal="center" vertical="center" wrapText="1"/>
    </xf>
    <xf numFmtId="0" fontId="0" fillId="4" borderId="9" xfId="0" applyFill="1" applyBorder="1" applyAlignment="1">
      <alignment horizontal="center" vertical="center"/>
    </xf>
    <xf numFmtId="0" fontId="2" fillId="3" borderId="9" xfId="0" applyFont="1" applyFill="1" applyBorder="1"/>
    <xf numFmtId="0" fontId="2" fillId="3" borderId="9" xfId="0" applyFont="1" applyFill="1" applyBorder="1" applyAlignment="1">
      <alignment wrapText="1"/>
    </xf>
    <xf numFmtId="0" fontId="0" fillId="0" borderId="31" xfId="0" applyBorder="1" applyAlignment="1">
      <alignment horizontal="center"/>
    </xf>
    <xf numFmtId="17" fontId="0" fillId="2" borderId="10" xfId="0" applyNumberFormat="1" applyFill="1" applyBorder="1"/>
    <xf numFmtId="0" fontId="0" fillId="2" borderId="9" xfId="0" applyFill="1" applyBorder="1" applyAlignment="1">
      <alignment wrapText="1"/>
    </xf>
    <xf numFmtId="169" fontId="0" fillId="2" borderId="9" xfId="0" applyNumberFormat="1" applyFill="1" applyBorder="1" applyAlignment="1">
      <alignment wrapText="1"/>
    </xf>
    <xf numFmtId="6" fontId="0" fillId="2" borderId="9" xfId="0" applyNumberFormat="1" applyFill="1" applyBorder="1"/>
    <xf numFmtId="0" fontId="0" fillId="0" borderId="0" xfId="0" quotePrefix="1"/>
    <xf numFmtId="169" fontId="2" fillId="3" borderId="9" xfId="0" applyNumberFormat="1" applyFont="1" applyFill="1" applyBorder="1" applyAlignment="1">
      <alignment wrapText="1"/>
    </xf>
    <xf numFmtId="180" fontId="0" fillId="2" borderId="9" xfId="0" applyNumberFormat="1" applyFill="1" applyBorder="1" applyAlignment="1">
      <alignment wrapText="1"/>
    </xf>
    <xf numFmtId="169" fontId="16" fillId="0" borderId="21" xfId="0" applyNumberFormat="1" applyFont="1" applyBorder="1" applyAlignment="1">
      <alignment horizontal="right" vertical="center"/>
    </xf>
    <xf numFmtId="169" fontId="16" fillId="0" borderId="14" xfId="0" applyNumberFormat="1" applyFont="1" applyBorder="1" applyAlignment="1">
      <alignment horizontal="right" vertical="center"/>
    </xf>
    <xf numFmtId="169" fontId="16" fillId="0" borderId="26" xfId="0" applyNumberFormat="1" applyFont="1" applyBorder="1" applyAlignment="1">
      <alignment horizontal="right" vertical="center"/>
    </xf>
    <xf numFmtId="169" fontId="15" fillId="0" borderId="21" xfId="0" applyNumberFormat="1" applyFont="1" applyBorder="1" applyAlignment="1">
      <alignment horizontal="right" vertical="center"/>
    </xf>
    <xf numFmtId="0" fontId="15" fillId="7" borderId="49" xfId="0" applyFont="1" applyFill="1" applyBorder="1" applyAlignment="1">
      <alignment horizontal="right" vertical="center" wrapText="1"/>
    </xf>
    <xf numFmtId="6" fontId="0" fillId="0" borderId="31" xfId="0" applyNumberFormat="1" applyBorder="1"/>
    <xf numFmtId="0" fontId="0" fillId="0" borderId="31" xfId="0" applyBorder="1"/>
    <xf numFmtId="164" fontId="0" fillId="0" borderId="31" xfId="1" applyNumberFormat="1" applyFont="1" applyFill="1" applyBorder="1"/>
    <xf numFmtId="164" fontId="0" fillId="0" borderId="29" xfId="1" applyNumberFormat="1" applyFont="1" applyFill="1" applyBorder="1"/>
    <xf numFmtId="0" fontId="0" fillId="0" borderId="7" xfId="0" applyBorder="1"/>
    <xf numFmtId="0" fontId="12" fillId="5" borderId="35" xfId="0" applyFont="1" applyFill="1" applyBorder="1" applyAlignment="1">
      <alignment horizontal="center" textRotation="90" wrapText="1"/>
    </xf>
    <xf numFmtId="0" fontId="0" fillId="0" borderId="22" xfId="0" applyBorder="1" applyAlignment="1">
      <alignment horizontal="center"/>
    </xf>
    <xf numFmtId="0" fontId="12" fillId="0" borderId="0" xfId="0" applyFont="1" applyAlignment="1">
      <alignment horizontal="center" textRotation="90" wrapText="1"/>
    </xf>
    <xf numFmtId="0" fontId="12" fillId="0" borderId="57" xfId="0" applyFont="1" applyBorder="1" applyAlignment="1">
      <alignment horizontal="center" vertical="center" wrapText="1"/>
    </xf>
    <xf numFmtId="0" fontId="0" fillId="4" borderId="40" xfId="0" applyFill="1" applyBorder="1" applyAlignment="1">
      <alignment horizontal="center"/>
    </xf>
    <xf numFmtId="0" fontId="0" fillId="4" borderId="28" xfId="0" applyFill="1" applyBorder="1" applyAlignment="1">
      <alignment horizontal="center"/>
    </xf>
    <xf numFmtId="0" fontId="0" fillId="4" borderId="30" xfId="0" applyFill="1" applyBorder="1" applyAlignment="1">
      <alignment horizontal="center"/>
    </xf>
    <xf numFmtId="0" fontId="0" fillId="9" borderId="40" xfId="0" applyFill="1" applyBorder="1" applyAlignment="1">
      <alignment horizontal="center" wrapText="1"/>
    </xf>
    <xf numFmtId="0" fontId="0" fillId="9" borderId="28" xfId="0" applyFill="1" applyBorder="1" applyAlignment="1">
      <alignment horizontal="center" wrapText="1"/>
    </xf>
    <xf numFmtId="0" fontId="0" fillId="9" borderId="73" xfId="0" applyFill="1" applyBorder="1" applyAlignment="1">
      <alignment horizontal="center" wrapText="1"/>
    </xf>
    <xf numFmtId="9" fontId="0" fillId="9" borderId="73" xfId="0" applyNumberFormat="1" applyFill="1" applyBorder="1" applyAlignment="1">
      <alignment horizontal="center" wrapText="1"/>
    </xf>
    <xf numFmtId="0" fontId="0" fillId="9" borderId="30" xfId="0" applyFill="1" applyBorder="1" applyAlignment="1">
      <alignment horizontal="center" wrapText="1"/>
    </xf>
    <xf numFmtId="0" fontId="12" fillId="0" borderId="68" xfId="0" applyFont="1" applyBorder="1" applyAlignment="1">
      <alignment horizontal="center" vertical="center" wrapText="1"/>
    </xf>
    <xf numFmtId="0" fontId="0" fillId="4" borderId="64" xfId="0" applyFill="1" applyBorder="1" applyAlignment="1">
      <alignment horizontal="center"/>
    </xf>
    <xf numFmtId="0" fontId="0" fillId="4" borderId="23" xfId="0" applyFill="1" applyBorder="1" applyAlignment="1">
      <alignment horizontal="center"/>
    </xf>
    <xf numFmtId="0" fontId="0" fillId="4" borderId="34" xfId="0" applyFill="1" applyBorder="1" applyAlignment="1">
      <alignment horizontal="center"/>
    </xf>
    <xf numFmtId="0" fontId="0" fillId="3" borderId="56" xfId="0" applyFill="1" applyBorder="1" applyAlignment="1">
      <alignment horizontal="center" wrapText="1"/>
    </xf>
    <xf numFmtId="0" fontId="0" fillId="9" borderId="8" xfId="0" applyFill="1" applyBorder="1" applyAlignment="1">
      <alignment horizontal="center" wrapText="1"/>
    </xf>
    <xf numFmtId="0" fontId="0" fillId="9" borderId="0" xfId="0" applyFill="1" applyAlignment="1">
      <alignment horizontal="center" wrapText="1"/>
    </xf>
    <xf numFmtId="9" fontId="0" fillId="9" borderId="0" xfId="0" applyNumberFormat="1" applyFill="1" applyAlignment="1">
      <alignment horizontal="center" wrapText="1"/>
    </xf>
    <xf numFmtId="0" fontId="0" fillId="9" borderId="33" xfId="0" applyFill="1" applyBorder="1" applyAlignment="1">
      <alignment horizontal="center" wrapText="1"/>
    </xf>
    <xf numFmtId="166" fontId="0" fillId="0" borderId="67" xfId="2" applyNumberFormat="1" applyFont="1" applyBorder="1"/>
    <xf numFmtId="168" fontId="0" fillId="3" borderId="35" xfId="0" applyNumberFormat="1" applyFill="1" applyBorder="1"/>
    <xf numFmtId="171" fontId="0" fillId="3" borderId="68" xfId="0" applyNumberFormat="1" applyFill="1" applyBorder="1"/>
    <xf numFmtId="167" fontId="0" fillId="9" borderId="63" xfId="0" applyNumberFormat="1" applyFill="1" applyBorder="1"/>
    <xf numFmtId="167" fontId="0" fillId="9" borderId="59" xfId="0" applyNumberFormat="1" applyFill="1" applyBorder="1"/>
    <xf numFmtId="167" fontId="0" fillId="9" borderId="14" xfId="0" applyNumberFormat="1" applyFill="1" applyBorder="1"/>
    <xf numFmtId="167" fontId="0" fillId="9" borderId="65" xfId="0" applyNumberFormat="1" applyFill="1" applyBorder="1"/>
    <xf numFmtId="167" fontId="0" fillId="9" borderId="16" xfId="0" applyNumberFormat="1" applyFill="1" applyBorder="1"/>
    <xf numFmtId="0" fontId="12" fillId="0" borderId="55" xfId="0" applyFont="1" applyBorder="1" applyAlignment="1">
      <alignment vertical="center"/>
    </xf>
    <xf numFmtId="0" fontId="20" fillId="0" borderId="0" xfId="0" applyFont="1" applyAlignment="1">
      <alignment vertical="center"/>
    </xf>
    <xf numFmtId="0" fontId="12" fillId="5" borderId="25"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0" fillId="4" borderId="39" xfId="0" applyFill="1" applyBorder="1" applyAlignment="1">
      <alignment horizontal="center" vertical="center" wrapText="1"/>
    </xf>
    <xf numFmtId="6" fontId="0" fillId="4" borderId="39" xfId="0" applyNumberFormat="1" applyFill="1" applyBorder="1"/>
    <xf numFmtId="6" fontId="0" fillId="4" borderId="31" xfId="0" applyNumberFormat="1" applyFill="1" applyBorder="1"/>
    <xf numFmtId="0" fontId="0" fillId="4" borderId="7" xfId="0" applyFill="1" applyBorder="1" applyAlignment="1">
      <alignment horizontal="center" vertical="center" wrapText="1"/>
    </xf>
    <xf numFmtId="0" fontId="0" fillId="4" borderId="38" xfId="0" applyFill="1" applyBorder="1" applyAlignment="1">
      <alignment horizontal="center" vertical="center" wrapText="1"/>
    </xf>
    <xf numFmtId="6" fontId="0" fillId="4" borderId="38" xfId="0" applyNumberFormat="1" applyFill="1" applyBorder="1"/>
    <xf numFmtId="6" fontId="0" fillId="4" borderId="7" xfId="0" applyNumberFormat="1" applyFill="1" applyBorder="1"/>
    <xf numFmtId="164" fontId="0" fillId="4" borderId="9" xfId="0" applyNumberFormat="1" applyFill="1" applyBorder="1"/>
    <xf numFmtId="181" fontId="0" fillId="0" borderId="9" xfId="0" applyNumberFormat="1" applyBorder="1" applyAlignment="1">
      <alignment horizontal="center" vertical="center"/>
    </xf>
    <xf numFmtId="0" fontId="1" fillId="4" borderId="51" xfId="0" applyFont="1" applyFill="1" applyBorder="1" applyAlignment="1">
      <alignment horizontal="center" vertical="center" wrapText="1"/>
    </xf>
    <xf numFmtId="0" fontId="1" fillId="4" borderId="49" xfId="0" applyFont="1" applyFill="1" applyBorder="1" applyAlignment="1">
      <alignment horizontal="center" vertical="center" wrapText="1"/>
    </xf>
    <xf numFmtId="169" fontId="0" fillId="0" borderId="64" xfId="0" applyNumberFormat="1" applyBorder="1"/>
    <xf numFmtId="6" fontId="0" fillId="0" borderId="42" xfId="0" applyNumberFormat="1" applyBorder="1"/>
    <xf numFmtId="164" fontId="0" fillId="0" borderId="42" xfId="0" applyNumberFormat="1" applyBorder="1"/>
    <xf numFmtId="171" fontId="0" fillId="3" borderId="42" xfId="0" applyNumberFormat="1" applyFill="1" applyBorder="1"/>
    <xf numFmtId="176" fontId="0" fillId="3" borderId="58" xfId="0" applyNumberFormat="1" applyFill="1" applyBorder="1"/>
    <xf numFmtId="179" fontId="0" fillId="9" borderId="7" xfId="1" applyNumberFormat="1" applyFont="1" applyFill="1" applyBorder="1"/>
    <xf numFmtId="171" fontId="0" fillId="2" borderId="6" xfId="0" applyNumberFormat="1" applyFill="1" applyBorder="1" applyAlignment="1">
      <alignment horizontal="right" vertical="center"/>
    </xf>
    <xf numFmtId="171" fontId="0" fillId="2" borderId="7" xfId="0" applyNumberFormat="1" applyFill="1" applyBorder="1" applyAlignment="1">
      <alignment horizontal="right" vertical="center"/>
    </xf>
    <xf numFmtId="10" fontId="0" fillId="4" borderId="9" xfId="0" applyNumberFormat="1" applyFill="1" applyBorder="1"/>
    <xf numFmtId="0" fontId="0" fillId="4" borderId="39" xfId="0" applyFill="1" applyBorder="1"/>
    <xf numFmtId="0" fontId="0" fillId="3" borderId="60" xfId="0" applyFill="1" applyBorder="1"/>
    <xf numFmtId="0" fontId="0" fillId="3" borderId="13" xfId="0" applyFill="1" applyBorder="1"/>
    <xf numFmtId="171" fontId="0" fillId="9" borderId="16" xfId="0" applyNumberFormat="1" applyFill="1" applyBorder="1"/>
    <xf numFmtId="176" fontId="0" fillId="3" borderId="71" xfId="0" applyNumberFormat="1" applyFill="1" applyBorder="1"/>
    <xf numFmtId="0" fontId="0" fillId="3" borderId="47" xfId="0" applyFill="1" applyBorder="1" applyAlignment="1">
      <alignment horizontal="center"/>
    </xf>
    <xf numFmtId="0" fontId="0" fillId="4" borderId="31" xfId="0" applyFill="1" applyBorder="1" applyAlignment="1">
      <alignment horizontal="center" wrapText="1"/>
    </xf>
    <xf numFmtId="0" fontId="0" fillId="4" borderId="39" xfId="0" applyFill="1" applyBorder="1" applyAlignment="1">
      <alignment horizontal="center" wrapText="1"/>
    </xf>
    <xf numFmtId="6" fontId="0" fillId="4" borderId="9" xfId="0" applyNumberFormat="1" applyFill="1" applyBorder="1" applyAlignment="1">
      <alignment horizontal="center"/>
    </xf>
    <xf numFmtId="0" fontId="24" fillId="0" borderId="0" xfId="0" applyFont="1"/>
    <xf numFmtId="0" fontId="0" fillId="5" borderId="58" xfId="0" applyFill="1" applyBorder="1"/>
    <xf numFmtId="0" fontId="12" fillId="5" borderId="68"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9" borderId="68" xfId="0" applyFont="1" applyFill="1" applyBorder="1" applyAlignment="1">
      <alignment horizontal="center" vertical="center" wrapText="1"/>
    </xf>
    <xf numFmtId="2" fontId="0" fillId="5" borderId="42" xfId="0" applyNumberFormat="1" applyFill="1" applyBorder="1"/>
    <xf numFmtId="171" fontId="0" fillId="4" borderId="10" xfId="0" applyNumberFormat="1" applyFill="1" applyBorder="1"/>
    <xf numFmtId="0" fontId="0" fillId="0" borderId="39" xfId="0" applyBorder="1" applyAlignment="1">
      <alignment horizontal="center"/>
    </xf>
    <xf numFmtId="169" fontId="0" fillId="0" borderId="23" xfId="0" applyNumberFormat="1" applyBorder="1"/>
    <xf numFmtId="0" fontId="0" fillId="9" borderId="9" xfId="0" applyFill="1" applyBorder="1" applyAlignment="1">
      <alignment horizontal="center"/>
    </xf>
    <xf numFmtId="0" fontId="0" fillId="9" borderId="7" xfId="0" applyFill="1" applyBorder="1" applyAlignment="1">
      <alignment horizontal="center"/>
    </xf>
    <xf numFmtId="0" fontId="0" fillId="9" borderId="31" xfId="0" applyFill="1" applyBorder="1" applyAlignment="1">
      <alignment horizontal="center"/>
    </xf>
    <xf numFmtId="0" fontId="0" fillId="0" borderId="38" xfId="0" applyBorder="1" applyAlignment="1">
      <alignment horizontal="center" wrapText="1"/>
    </xf>
    <xf numFmtId="0" fontId="0" fillId="4" borderId="21" xfId="0" applyFill="1" applyBorder="1"/>
    <xf numFmtId="0" fontId="0" fillId="4" borderId="14" xfId="0" applyFill="1" applyBorder="1"/>
    <xf numFmtId="0" fontId="0" fillId="4" borderId="7" xfId="0" applyFill="1" applyBorder="1"/>
    <xf numFmtId="0" fontId="0" fillId="4" borderId="16" xfId="0" applyFill="1" applyBorder="1"/>
    <xf numFmtId="0" fontId="0" fillId="4" borderId="9" xfId="2" applyNumberFormat="1" applyFont="1" applyFill="1" applyBorder="1"/>
    <xf numFmtId="0" fontId="0" fillId="4" borderId="14" xfId="2" applyNumberFormat="1" applyFont="1" applyFill="1" applyBorder="1"/>
    <xf numFmtId="0" fontId="0" fillId="4" borderId="60" xfId="0" applyFill="1" applyBorder="1"/>
    <xf numFmtId="0" fontId="0" fillId="4" borderId="13" xfId="0" applyFill="1" applyBorder="1"/>
    <xf numFmtId="0" fontId="0" fillId="4" borderId="15" xfId="0" applyFill="1" applyBorder="1"/>
    <xf numFmtId="167" fontId="0" fillId="9" borderId="25" xfId="0" applyNumberFormat="1" applyFill="1" applyBorder="1"/>
    <xf numFmtId="170" fontId="0" fillId="9" borderId="14" xfId="0" applyNumberFormat="1" applyFill="1" applyBorder="1"/>
    <xf numFmtId="164" fontId="0" fillId="0" borderId="62" xfId="1" applyNumberFormat="1" applyFont="1" applyFill="1" applyBorder="1"/>
    <xf numFmtId="164" fontId="0" fillId="0" borderId="28" xfId="1" applyNumberFormat="1" applyFont="1" applyFill="1" applyBorder="1"/>
    <xf numFmtId="0" fontId="0" fillId="0" borderId="28" xfId="0" applyBorder="1"/>
    <xf numFmtId="0" fontId="0" fillId="0" borderId="30" xfId="0" applyBorder="1"/>
    <xf numFmtId="164" fontId="0" fillId="10" borderId="9" xfId="0" applyNumberFormat="1" applyFill="1" applyBorder="1"/>
    <xf numFmtId="164" fontId="0" fillId="10" borderId="28" xfId="0" applyNumberFormat="1" applyFill="1" applyBorder="1"/>
    <xf numFmtId="0" fontId="0" fillId="10" borderId="0" xfId="0" applyFill="1"/>
    <xf numFmtId="164" fontId="0" fillId="0" borderId="7" xfId="0" applyNumberFormat="1" applyBorder="1" applyAlignment="1">
      <alignment horizontal="right"/>
    </xf>
    <xf numFmtId="164" fontId="0" fillId="10" borderId="14" xfId="1" applyNumberFormat="1" applyFont="1" applyFill="1" applyBorder="1"/>
    <xf numFmtId="164" fontId="0" fillId="10" borderId="14" xfId="0" applyNumberFormat="1" applyFill="1" applyBorder="1"/>
    <xf numFmtId="0" fontId="15" fillId="7" borderId="49" xfId="0" applyFont="1" applyFill="1" applyBorder="1" applyAlignment="1">
      <alignment horizontal="right" vertical="center"/>
    </xf>
    <xf numFmtId="0" fontId="17" fillId="7" borderId="50" xfId="0" applyFont="1" applyFill="1" applyBorder="1" applyAlignment="1">
      <alignment vertical="center"/>
    </xf>
    <xf numFmtId="0" fontId="15" fillId="7" borderId="51" xfId="0" applyFont="1" applyFill="1" applyBorder="1" applyAlignment="1">
      <alignment horizontal="center" vertical="center" wrapText="1"/>
    </xf>
    <xf numFmtId="169" fontId="17" fillId="7" borderId="35" xfId="0" applyNumberFormat="1" applyFont="1" applyFill="1" applyBorder="1" applyAlignment="1">
      <alignment horizontal="right" vertical="center"/>
    </xf>
    <xf numFmtId="0" fontId="17" fillId="0" borderId="6" xfId="0" applyFont="1" applyBorder="1" applyAlignment="1">
      <alignment vertical="center"/>
    </xf>
    <xf numFmtId="169" fontId="17" fillId="7" borderId="16" xfId="0" applyNumberFormat="1" applyFont="1" applyFill="1" applyBorder="1" applyAlignment="1">
      <alignment horizontal="right" vertical="center"/>
    </xf>
    <xf numFmtId="0" fontId="17" fillId="7" borderId="68" xfId="0" applyFont="1" applyFill="1" applyBorder="1" applyAlignment="1">
      <alignment horizontal="left" vertical="center"/>
    </xf>
    <xf numFmtId="0" fontId="14" fillId="6" borderId="13" xfId="0" applyFont="1" applyFill="1" applyBorder="1" applyAlignment="1">
      <alignment horizontal="center" vertical="center" wrapText="1"/>
    </xf>
    <xf numFmtId="0" fontId="14" fillId="7" borderId="13" xfId="0" applyFont="1" applyFill="1" applyBorder="1" applyAlignment="1">
      <alignment horizontal="center" vertical="center" wrapText="1"/>
    </xf>
    <xf numFmtId="0" fontId="0" fillId="0" borderId="56" xfId="0" applyBorder="1"/>
    <xf numFmtId="169" fontId="0" fillId="0" borderId="0" xfId="0" applyNumberFormat="1"/>
    <xf numFmtId="0" fontId="0" fillId="0" borderId="55" xfId="0" applyBorder="1"/>
    <xf numFmtId="0" fontId="0" fillId="0" borderId="68" xfId="0" applyBorder="1"/>
    <xf numFmtId="166" fontId="0" fillId="0" borderId="35" xfId="2" applyNumberFormat="1" applyFont="1" applyBorder="1"/>
    <xf numFmtId="0" fontId="0" fillId="3" borderId="65" xfId="0" applyFill="1" applyBorder="1"/>
    <xf numFmtId="167" fontId="0" fillId="9" borderId="58" xfId="0" applyNumberFormat="1" applyFill="1" applyBorder="1"/>
    <xf numFmtId="0" fontId="2" fillId="0" borderId="31" xfId="0" applyFont="1" applyBorder="1" applyAlignment="1">
      <alignment horizontal="center" vertical="center"/>
    </xf>
    <xf numFmtId="178" fontId="0" fillId="0" borderId="9" xfId="0" applyNumberFormat="1" applyBorder="1"/>
    <xf numFmtId="169" fontId="0" fillId="0" borderId="76" xfId="0" applyNumberFormat="1" applyBorder="1"/>
    <xf numFmtId="9" fontId="0" fillId="4" borderId="38" xfId="0" applyNumberFormat="1" applyFill="1" applyBorder="1"/>
    <xf numFmtId="164" fontId="0" fillId="4" borderId="38" xfId="0" applyNumberFormat="1" applyFill="1" applyBorder="1"/>
    <xf numFmtId="9" fontId="0" fillId="0" borderId="76" xfId="0" applyNumberFormat="1" applyBorder="1"/>
    <xf numFmtId="9" fontId="0" fillId="0" borderId="77" xfId="0" applyNumberFormat="1" applyBorder="1"/>
    <xf numFmtId="6" fontId="0" fillId="0" borderId="76" xfId="0" applyNumberFormat="1" applyBorder="1"/>
    <xf numFmtId="6" fontId="0" fillId="0" borderId="77" xfId="0" applyNumberFormat="1" applyBorder="1"/>
    <xf numFmtId="0" fontId="2" fillId="3" borderId="9" xfId="0" applyFont="1" applyFill="1" applyBorder="1" applyAlignment="1">
      <alignment horizontal="right" wrapText="1"/>
    </xf>
    <xf numFmtId="0" fontId="2" fillId="3" borderId="9" xfId="0" applyFont="1" applyFill="1" applyBorder="1" applyAlignment="1">
      <alignment horizontal="right"/>
    </xf>
    <xf numFmtId="9" fontId="0" fillId="4" borderId="38" xfId="0" applyNumberFormat="1" applyFill="1" applyBorder="1" applyAlignment="1">
      <alignment horizontal="center" vertical="center" wrapText="1"/>
    </xf>
    <xf numFmtId="0" fontId="0" fillId="0" borderId="76" xfId="0" applyBorder="1"/>
    <xf numFmtId="0" fontId="0" fillId="4" borderId="9" xfId="0" applyFill="1" applyBorder="1" applyAlignment="1">
      <alignment vertical="center"/>
    </xf>
    <xf numFmtId="182" fontId="2" fillId="0" borderId="38" xfId="0" applyNumberFormat="1" applyFont="1" applyBorder="1" applyAlignment="1">
      <alignment horizontal="center" vertical="center" wrapText="1"/>
    </xf>
    <xf numFmtId="0" fontId="0" fillId="0" borderId="19" xfId="0" applyBorder="1"/>
    <xf numFmtId="0" fontId="0" fillId="0" borderId="61" xfId="0" applyBorder="1"/>
    <xf numFmtId="0" fontId="0" fillId="0" borderId="77" xfId="0" applyBorder="1"/>
    <xf numFmtId="0" fontId="0" fillId="4" borderId="7" xfId="0" applyFill="1" applyBorder="1" applyAlignment="1">
      <alignment vertical="center"/>
    </xf>
    <xf numFmtId="6" fontId="0" fillId="0" borderId="47" xfId="0" applyNumberFormat="1" applyBorder="1"/>
    <xf numFmtId="6" fontId="0" fillId="0" borderId="45" xfId="0" applyNumberFormat="1" applyBorder="1"/>
    <xf numFmtId="169" fontId="0" fillId="0" borderId="77" xfId="0" applyNumberFormat="1" applyBorder="1"/>
    <xf numFmtId="0" fontId="12" fillId="0" borderId="0" xfId="0" applyFont="1"/>
    <xf numFmtId="0" fontId="0" fillId="2" borderId="7" xfId="0" applyFill="1" applyBorder="1"/>
    <xf numFmtId="0" fontId="0" fillId="2" borderId="16" xfId="0" applyFill="1" applyBorder="1"/>
    <xf numFmtId="9" fontId="0" fillId="2" borderId="9" xfId="0" applyNumberFormat="1" applyFill="1" applyBorder="1"/>
    <xf numFmtId="9" fontId="0" fillId="2" borderId="14" xfId="0" applyNumberFormat="1" applyFill="1" applyBorder="1"/>
    <xf numFmtId="6" fontId="0" fillId="2" borderId="14" xfId="0" applyNumberFormat="1" applyFill="1" applyBorder="1"/>
    <xf numFmtId="10" fontId="0" fillId="2" borderId="9" xfId="0" applyNumberFormat="1" applyFill="1" applyBorder="1"/>
    <xf numFmtId="10" fontId="0" fillId="2" borderId="38" xfId="0" applyNumberFormat="1" applyFill="1" applyBorder="1"/>
    <xf numFmtId="0" fontId="0" fillId="0" borderId="7" xfId="0" applyBorder="1" applyAlignment="1">
      <alignment horizontal="center" vertical="center" wrapText="1"/>
    </xf>
    <xf numFmtId="10" fontId="0" fillId="0" borderId="9" xfId="1" applyNumberFormat="1" applyFont="1" applyBorder="1"/>
    <xf numFmtId="0" fontId="0" fillId="0" borderId="38" xfId="0" applyBorder="1" applyAlignment="1">
      <alignment horizontal="center" vertical="center" wrapText="1"/>
    </xf>
    <xf numFmtId="6" fontId="0" fillId="0" borderId="44" xfId="0" applyNumberFormat="1" applyBorder="1"/>
    <xf numFmtId="169" fontId="0" fillId="0" borderId="9" xfId="0" applyNumberFormat="1" applyBorder="1"/>
    <xf numFmtId="167" fontId="0" fillId="9" borderId="60" xfId="0" applyNumberFormat="1" applyFill="1" applyBorder="1"/>
    <xf numFmtId="167" fontId="0" fillId="9" borderId="24" xfId="0" applyNumberFormat="1" applyFill="1" applyBorder="1"/>
    <xf numFmtId="167" fontId="0" fillId="9" borderId="13" xfId="0" applyNumberFormat="1" applyFill="1" applyBorder="1"/>
    <xf numFmtId="167" fontId="0" fillId="9" borderId="78" xfId="0" applyNumberFormat="1" applyFill="1" applyBorder="1"/>
    <xf numFmtId="167" fontId="0" fillId="9" borderId="15" xfId="0" applyNumberFormat="1" applyFill="1" applyBorder="1"/>
    <xf numFmtId="9" fontId="0" fillId="0" borderId="9" xfId="0" applyNumberFormat="1" applyBorder="1"/>
    <xf numFmtId="15" fontId="0" fillId="0" borderId="9" xfId="0" applyNumberFormat="1" applyBorder="1" applyAlignment="1">
      <alignment horizontal="right"/>
    </xf>
    <xf numFmtId="164" fontId="0" fillId="0" borderId="38" xfId="0" applyNumberFormat="1" applyBorder="1"/>
    <xf numFmtId="0" fontId="0" fillId="0" borderId="9" xfId="0" applyBorder="1" applyAlignment="1">
      <alignment vertical="center"/>
    </xf>
    <xf numFmtId="0" fontId="0" fillId="0" borderId="7" xfId="0" applyBorder="1" applyAlignment="1">
      <alignment vertical="center"/>
    </xf>
    <xf numFmtId="6" fontId="0" fillId="0" borderId="39" xfId="0" applyNumberFormat="1" applyBorder="1"/>
    <xf numFmtId="10" fontId="0" fillId="0" borderId="9" xfId="0" applyNumberFormat="1" applyBorder="1"/>
    <xf numFmtId="6" fontId="0" fillId="0" borderId="7" xfId="0" applyNumberFormat="1" applyBorder="1"/>
    <xf numFmtId="9" fontId="0" fillId="0" borderId="38" xfId="0" applyNumberFormat="1" applyBorder="1"/>
    <xf numFmtId="10" fontId="0" fillId="0" borderId="38" xfId="0" applyNumberFormat="1" applyBorder="1"/>
    <xf numFmtId="6" fontId="0" fillId="0" borderId="38" xfId="0" applyNumberFormat="1" applyBorder="1"/>
    <xf numFmtId="6" fontId="0" fillId="0" borderId="3" xfId="0" applyNumberFormat="1" applyBorder="1"/>
    <xf numFmtId="0" fontId="0" fillId="4" borderId="15" xfId="0" applyFill="1" applyBorder="1" applyAlignment="1">
      <alignment horizontal="left" vertical="top" wrapText="1"/>
    </xf>
    <xf numFmtId="0" fontId="25" fillId="0" borderId="0" xfId="9" applyAlignment="1">
      <alignment horizontal="left" vertical="top"/>
    </xf>
    <xf numFmtId="0" fontId="25" fillId="0" borderId="0" xfId="9" applyAlignment="1">
      <alignment horizontal="left" wrapText="1"/>
    </xf>
    <xf numFmtId="0" fontId="25" fillId="0" borderId="0" xfId="9" applyAlignment="1">
      <alignment horizontal="left" vertical="center" wrapText="1"/>
    </xf>
    <xf numFmtId="2" fontId="29" fillId="0" borderId="79" xfId="9" applyNumberFormat="1" applyFont="1" applyBorder="1" applyAlignment="1">
      <alignment horizontal="center" vertical="top" shrinkToFit="1"/>
    </xf>
    <xf numFmtId="2" fontId="29" fillId="0" borderId="79" xfId="9" applyNumberFormat="1" applyFont="1" applyBorder="1" applyAlignment="1">
      <alignment horizontal="left" vertical="top" indent="1" shrinkToFit="1"/>
    </xf>
    <xf numFmtId="2" fontId="29" fillId="0" borderId="79" xfId="9" applyNumberFormat="1" applyFont="1" applyBorder="1" applyAlignment="1">
      <alignment horizontal="left" vertical="top" shrinkToFit="1"/>
    </xf>
    <xf numFmtId="2" fontId="29" fillId="0" borderId="79" xfId="9" applyNumberFormat="1" applyFont="1" applyBorder="1" applyAlignment="1">
      <alignment horizontal="right" vertical="top" shrinkToFit="1"/>
    </xf>
    <xf numFmtId="0" fontId="30" fillId="0" borderId="79" xfId="9" applyFont="1" applyBorder="1" applyAlignment="1">
      <alignment horizontal="left" vertical="top" wrapText="1" indent="1"/>
    </xf>
    <xf numFmtId="0" fontId="25" fillId="0" borderId="0" xfId="9" applyAlignment="1">
      <alignment horizontal="left" vertical="top" wrapText="1"/>
    </xf>
    <xf numFmtId="0" fontId="30" fillId="0" borderId="79" xfId="9" applyFont="1" applyBorder="1" applyAlignment="1">
      <alignment horizontal="left" vertical="top" wrapText="1" indent="3"/>
    </xf>
    <xf numFmtId="1" fontId="31" fillId="0" borderId="79" xfId="9" applyNumberFormat="1" applyFont="1" applyBorder="1" applyAlignment="1">
      <alignment horizontal="center" vertical="top" shrinkToFit="1"/>
    </xf>
    <xf numFmtId="1" fontId="31" fillId="0" borderId="79" xfId="9" applyNumberFormat="1" applyFont="1" applyBorder="1" applyAlignment="1">
      <alignment horizontal="left" vertical="top" shrinkToFit="1"/>
    </xf>
    <xf numFmtId="1" fontId="31" fillId="0" borderId="79" xfId="9" applyNumberFormat="1" applyFont="1" applyBorder="1" applyAlignment="1">
      <alignment horizontal="right" vertical="top" shrinkToFit="1"/>
    </xf>
    <xf numFmtId="1" fontId="31" fillId="0" borderId="79" xfId="9" applyNumberFormat="1" applyFont="1" applyBorder="1" applyAlignment="1">
      <alignment horizontal="left" vertical="top" indent="1" shrinkToFit="1"/>
    </xf>
    <xf numFmtId="0" fontId="25" fillId="0" borderId="79" xfId="9" applyBorder="1" applyAlignment="1">
      <alignment horizontal="left" wrapText="1"/>
    </xf>
    <xf numFmtId="2" fontId="29" fillId="0" borderId="79" xfId="9" applyNumberFormat="1" applyFont="1" applyBorder="1" applyAlignment="1">
      <alignment horizontal="right" vertical="top" indent="1" shrinkToFit="1"/>
    </xf>
    <xf numFmtId="1" fontId="31" fillId="0" borderId="79" xfId="9" applyNumberFormat="1" applyFont="1" applyBorder="1" applyAlignment="1">
      <alignment horizontal="right" vertical="top" indent="1" shrinkToFit="1"/>
    </xf>
    <xf numFmtId="2" fontId="25" fillId="0" borderId="0" xfId="9" applyNumberFormat="1" applyAlignment="1">
      <alignment horizontal="left" vertical="top"/>
    </xf>
    <xf numFmtId="0" fontId="0" fillId="0" borderId="44" xfId="0" applyBorder="1"/>
    <xf numFmtId="0" fontId="12" fillId="0" borderId="0" xfId="0" applyFont="1" applyAlignment="1">
      <alignment horizontal="left" wrapText="1"/>
    </xf>
    <xf numFmtId="166" fontId="0" fillId="0" borderId="9" xfId="2" applyNumberFormat="1" applyFont="1" applyFill="1" applyBorder="1"/>
    <xf numFmtId="178" fontId="0" fillId="0" borderId="1" xfId="0" applyNumberFormat="1" applyBorder="1"/>
    <xf numFmtId="168" fontId="0" fillId="3" borderId="1" xfId="0" applyNumberFormat="1" applyFill="1" applyBorder="1"/>
    <xf numFmtId="166" fontId="0" fillId="0" borderId="28" xfId="2" applyNumberFormat="1" applyFont="1" applyFill="1" applyBorder="1"/>
    <xf numFmtId="168" fontId="0" fillId="3" borderId="9" xfId="0" applyNumberFormat="1" applyFill="1" applyBorder="1"/>
    <xf numFmtId="167" fontId="0" fillId="0" borderId="10" xfId="0" applyNumberFormat="1" applyBorder="1"/>
    <xf numFmtId="0" fontId="15" fillId="7" borderId="45" xfId="0" applyFont="1" applyFill="1" applyBorder="1" applyAlignment="1">
      <alignment horizontal="right" vertical="center"/>
    </xf>
    <xf numFmtId="0" fontId="18" fillId="7" borderId="9" xfId="0" applyFont="1" applyFill="1" applyBorder="1" applyAlignment="1">
      <alignment vertical="center"/>
    </xf>
    <xf numFmtId="0" fontId="15" fillId="7" borderId="9" xfId="0" applyFont="1" applyFill="1" applyBorder="1" applyAlignment="1">
      <alignment vertical="center"/>
    </xf>
    <xf numFmtId="0" fontId="15" fillId="7" borderId="9" xfId="0" applyFont="1" applyFill="1" applyBorder="1"/>
    <xf numFmtId="0" fontId="0" fillId="4" borderId="42" xfId="0" applyFill="1" applyBorder="1" applyAlignment="1">
      <alignment horizontal="center" wrapText="1"/>
    </xf>
    <xf numFmtId="167" fontId="0" fillId="0" borderId="38" xfId="0" applyNumberFormat="1" applyBorder="1"/>
    <xf numFmtId="166" fontId="0" fillId="0" borderId="0" xfId="2" applyNumberFormat="1" applyFont="1" applyFill="1" applyBorder="1"/>
    <xf numFmtId="43" fontId="0" fillId="0" borderId="9" xfId="2" applyFont="1" applyBorder="1"/>
    <xf numFmtId="171" fontId="0" fillId="5" borderId="31" xfId="0" applyNumberFormat="1" applyFill="1" applyBorder="1"/>
    <xf numFmtId="0" fontId="0" fillId="0" borderId="38" xfId="0" applyBorder="1" applyAlignment="1">
      <alignment horizontal="center"/>
    </xf>
    <xf numFmtId="0" fontId="0" fillId="0" borderId="13" xfId="0" applyBorder="1"/>
    <xf numFmtId="0" fontId="30" fillId="0" borderId="0" xfId="9" applyFont="1" applyAlignment="1">
      <alignment horizontal="left" vertical="top" wrapText="1" indent="1"/>
    </xf>
    <xf numFmtId="2" fontId="29" fillId="0" borderId="0" xfId="9" applyNumberFormat="1" applyFont="1" applyAlignment="1">
      <alignment horizontal="center" vertical="top" shrinkToFit="1"/>
    </xf>
    <xf numFmtId="0" fontId="12" fillId="0" borderId="0" xfId="0" applyFont="1" applyAlignment="1">
      <alignment horizontal="center" vertical="center"/>
    </xf>
    <xf numFmtId="0" fontId="12" fillId="0" borderId="0" xfId="0" applyFont="1" applyAlignment="1">
      <alignment horizontal="left" vertical="center"/>
    </xf>
    <xf numFmtId="167" fontId="0" fillId="0" borderId="31" xfId="0" applyNumberFormat="1" applyBorder="1"/>
    <xf numFmtId="167" fontId="0" fillId="0" borderId="31" xfId="0" applyNumberFormat="1" applyBorder="1" applyAlignment="1">
      <alignment horizontal="center"/>
    </xf>
    <xf numFmtId="167" fontId="0" fillId="0" borderId="14" xfId="0" applyNumberFormat="1" applyBorder="1"/>
    <xf numFmtId="167" fontId="0" fillId="0" borderId="7" xfId="0" applyNumberFormat="1" applyBorder="1"/>
    <xf numFmtId="167" fontId="0" fillId="0" borderId="16" xfId="0" applyNumberFormat="1" applyBorder="1"/>
    <xf numFmtId="166" fontId="0" fillId="0" borderId="31" xfId="2" applyNumberFormat="1" applyFont="1" applyFill="1" applyBorder="1"/>
    <xf numFmtId="166" fontId="0" fillId="0" borderId="62" xfId="2" applyNumberFormat="1" applyFont="1" applyFill="1" applyBorder="1"/>
    <xf numFmtId="166" fontId="0" fillId="0" borderId="7" xfId="2" applyNumberFormat="1" applyFont="1" applyFill="1" applyBorder="1"/>
    <xf numFmtId="166" fontId="0" fillId="0" borderId="30" xfId="2" applyNumberFormat="1" applyFont="1" applyFill="1" applyBorder="1"/>
    <xf numFmtId="0" fontId="0" fillId="0" borderId="73" xfId="0" applyBorder="1" applyAlignment="1">
      <alignment horizontal="center" wrapText="1"/>
    </xf>
    <xf numFmtId="168" fontId="0" fillId="3" borderId="0" xfId="0" applyNumberFormat="1" applyFill="1"/>
    <xf numFmtId="168" fontId="0" fillId="3" borderId="38" xfId="0" applyNumberFormat="1" applyFill="1" applyBorder="1"/>
    <xf numFmtId="167" fontId="0" fillId="0" borderId="47" xfId="0" applyNumberFormat="1" applyBorder="1"/>
    <xf numFmtId="0" fontId="12" fillId="0" borderId="18" xfId="0" applyFont="1" applyBorder="1" applyAlignment="1">
      <alignment horizontal="left"/>
    </xf>
    <xf numFmtId="167" fontId="0" fillId="0" borderId="29" xfId="0" applyNumberFormat="1" applyBorder="1"/>
    <xf numFmtId="0" fontId="12" fillId="0" borderId="13" xfId="0" applyFont="1" applyBorder="1" applyAlignment="1">
      <alignment horizontal="left"/>
    </xf>
    <xf numFmtId="0" fontId="12" fillId="0" borderId="78" xfId="0" applyFont="1" applyBorder="1" applyAlignment="1">
      <alignment horizontal="left" vertical="center"/>
    </xf>
    <xf numFmtId="0" fontId="12" fillId="0" borderId="74" xfId="0" applyFont="1" applyBorder="1" applyAlignment="1">
      <alignment horizontal="left" vertical="center"/>
    </xf>
    <xf numFmtId="0" fontId="12" fillId="0" borderId="15" xfId="0" applyFont="1" applyBorder="1" applyAlignment="1">
      <alignment horizontal="left" vertical="center"/>
    </xf>
    <xf numFmtId="0" fontId="12" fillId="0" borderId="60" xfId="0" applyFont="1" applyBorder="1" applyAlignment="1">
      <alignment horizontal="left" vertical="center"/>
    </xf>
    <xf numFmtId="0" fontId="0" fillId="0" borderId="7" xfId="0" applyBorder="1" applyAlignment="1">
      <alignment horizontal="center"/>
    </xf>
    <xf numFmtId="167" fontId="0" fillId="0" borderId="0" xfId="0" applyNumberFormat="1" applyAlignment="1">
      <alignment horizontal="center"/>
    </xf>
    <xf numFmtId="166" fontId="0" fillId="0" borderId="0" xfId="2" applyNumberFormat="1" applyFont="1" applyFill="1" applyBorder="1" applyAlignment="1">
      <alignment horizontal="center"/>
    </xf>
    <xf numFmtId="166" fontId="0" fillId="0" borderId="39" xfId="0" applyNumberFormat="1" applyBorder="1" applyAlignment="1">
      <alignment horizontal="center"/>
    </xf>
    <xf numFmtId="166" fontId="0" fillId="0" borderId="9" xfId="0" applyNumberFormat="1" applyBorder="1" applyAlignment="1">
      <alignment horizontal="center"/>
    </xf>
    <xf numFmtId="171" fontId="0" fillId="9" borderId="57" xfId="0" applyNumberFormat="1" applyFill="1" applyBorder="1"/>
    <xf numFmtId="0" fontId="0" fillId="4" borderId="28" xfId="0" applyFill="1" applyBorder="1"/>
    <xf numFmtId="0" fontId="12" fillId="4" borderId="50" xfId="0" applyFont="1" applyFill="1" applyBorder="1" applyAlignment="1">
      <alignment horizontal="center" textRotation="90" wrapText="1"/>
    </xf>
    <xf numFmtId="0" fontId="12" fillId="4" borderId="51" xfId="0" applyFont="1" applyFill="1" applyBorder="1" applyAlignment="1">
      <alignment horizontal="center" textRotation="90" wrapText="1"/>
    </xf>
    <xf numFmtId="0" fontId="12" fillId="4" borderId="49" xfId="0" applyFont="1" applyFill="1" applyBorder="1" applyAlignment="1">
      <alignment horizontal="center" textRotation="90" wrapText="1"/>
    </xf>
    <xf numFmtId="0" fontId="12" fillId="0" borderId="35" xfId="0" applyFont="1" applyBorder="1" applyAlignment="1">
      <alignment horizontal="center" textRotation="90" wrapText="1"/>
    </xf>
    <xf numFmtId="0" fontId="1" fillId="4" borderId="50" xfId="0" applyFont="1" applyFill="1" applyBorder="1" applyAlignment="1">
      <alignment horizontal="center" vertical="center" wrapText="1"/>
    </xf>
    <xf numFmtId="166" fontId="1" fillId="0" borderId="35" xfId="2" applyNumberFormat="1" applyFont="1" applyBorder="1" applyAlignment="1">
      <alignment vertical="center"/>
    </xf>
    <xf numFmtId="0" fontId="0" fillId="4" borderId="80" xfId="0" applyFill="1" applyBorder="1"/>
    <xf numFmtId="0" fontId="0" fillId="4" borderId="13" xfId="2" applyNumberFormat="1" applyFont="1" applyFill="1" applyBorder="1"/>
    <xf numFmtId="171" fontId="0" fillId="3" borderId="50" xfId="0" applyNumberFormat="1" applyFill="1" applyBorder="1"/>
    <xf numFmtId="164" fontId="0" fillId="9" borderId="78" xfId="1" applyNumberFormat="1" applyFont="1" applyFill="1" applyBorder="1"/>
    <xf numFmtId="164" fontId="0" fillId="9" borderId="38" xfId="1" applyNumberFormat="1" applyFont="1" applyFill="1" applyBorder="1"/>
    <xf numFmtId="164" fontId="0" fillId="9" borderId="14" xfId="1" applyNumberFormat="1" applyFont="1" applyFill="1" applyBorder="1"/>
    <xf numFmtId="164" fontId="0" fillId="9" borderId="59" xfId="1" applyNumberFormat="1" applyFont="1" applyFill="1" applyBorder="1"/>
    <xf numFmtId="0" fontId="0" fillId="0" borderId="25" xfId="0" applyBorder="1"/>
    <xf numFmtId="0" fontId="0" fillId="0" borderId="22" xfId="0" applyBorder="1"/>
    <xf numFmtId="0" fontId="0" fillId="0" borderId="34" xfId="0" applyBorder="1"/>
    <xf numFmtId="171" fontId="0" fillId="5" borderId="64" xfId="0" applyNumberFormat="1" applyFill="1" applyBorder="1"/>
    <xf numFmtId="175" fontId="0" fillId="3" borderId="42" xfId="0" applyNumberFormat="1" applyFill="1" applyBorder="1"/>
    <xf numFmtId="175" fontId="0" fillId="9" borderId="42" xfId="0" applyNumberFormat="1" applyFill="1" applyBorder="1"/>
    <xf numFmtId="175" fontId="0" fillId="9" borderId="58" xfId="0" applyNumberFormat="1" applyFill="1" applyBorder="1"/>
    <xf numFmtId="0" fontId="37" fillId="0" borderId="0" xfId="0" applyFont="1" applyAlignment="1">
      <alignment horizontal="left" vertical="center"/>
    </xf>
    <xf numFmtId="0" fontId="2" fillId="0" borderId="75" xfId="0" applyFont="1" applyBorder="1" applyAlignment="1">
      <alignment horizontal="center" vertical="center" textRotation="90" wrapText="1"/>
    </xf>
    <xf numFmtId="0" fontId="2" fillId="0" borderId="72" xfId="0" applyFont="1" applyBorder="1" applyAlignment="1">
      <alignment horizontal="center" vertical="center" textRotation="90" wrapText="1"/>
    </xf>
    <xf numFmtId="0" fontId="2" fillId="0" borderId="32" xfId="0" applyFont="1" applyBorder="1" applyAlignment="1">
      <alignment horizontal="center" vertical="center" textRotation="90" wrapText="1"/>
    </xf>
    <xf numFmtId="0" fontId="2" fillId="0" borderId="46" xfId="0" applyFont="1" applyBorder="1" applyAlignment="1">
      <alignment horizontal="center" vertical="center" textRotation="90" wrapText="1"/>
    </xf>
    <xf numFmtId="0" fontId="0" fillId="0" borderId="60" xfId="0" applyBorder="1"/>
    <xf numFmtId="0" fontId="0" fillId="0" borderId="13" xfId="0" applyBorder="1" applyAlignment="1">
      <alignment horizontal="left" wrapText="1"/>
    </xf>
    <xf numFmtId="14" fontId="0" fillId="0" borderId="14" xfId="0" applyNumberFormat="1" applyBorder="1"/>
    <xf numFmtId="0" fontId="0" fillId="0" borderId="15" xfId="0" applyBorder="1"/>
    <xf numFmtId="14" fontId="0" fillId="0" borderId="16" xfId="0" applyNumberFormat="1" applyBorder="1"/>
    <xf numFmtId="0" fontId="12" fillId="0" borderId="60" xfId="0" applyFont="1" applyBorder="1" applyAlignment="1">
      <alignment horizontal="left"/>
    </xf>
    <xf numFmtId="0" fontId="12" fillId="0" borderId="15" xfId="0" applyFont="1" applyBorder="1" applyAlignment="1">
      <alignment horizontal="left"/>
    </xf>
    <xf numFmtId="0" fontId="0" fillId="0" borderId="26" xfId="0" applyBorder="1"/>
    <xf numFmtId="0" fontId="12" fillId="0" borderId="62" xfId="0" applyFont="1" applyBorder="1" applyAlignment="1">
      <alignment horizontal="left" wrapText="1"/>
    </xf>
    <xf numFmtId="0" fontId="0" fillId="0" borderId="78" xfId="0" applyBorder="1" applyAlignment="1">
      <alignment horizontal="center" wrapText="1"/>
    </xf>
    <xf numFmtId="0" fontId="0" fillId="0" borderId="26" xfId="0" applyBorder="1" applyAlignment="1">
      <alignment horizontal="center" wrapText="1"/>
    </xf>
    <xf numFmtId="0" fontId="0" fillId="3" borderId="29" xfId="0" applyFill="1" applyBorder="1"/>
    <xf numFmtId="0" fontId="0" fillId="0" borderId="13" xfId="0" applyBorder="1" applyAlignment="1">
      <alignment wrapText="1"/>
    </xf>
    <xf numFmtId="0" fontId="0" fillId="3" borderId="14" xfId="0" applyFill="1" applyBorder="1"/>
    <xf numFmtId="0" fontId="0" fillId="3" borderId="16" xfId="0" applyFill="1" applyBorder="1"/>
    <xf numFmtId="167" fontId="0" fillId="0" borderId="62" xfId="0" applyNumberFormat="1" applyBorder="1"/>
    <xf numFmtId="167" fontId="0" fillId="0" borderId="28" xfId="0" applyNumberFormat="1" applyBorder="1"/>
    <xf numFmtId="167" fontId="0" fillId="0" borderId="30" xfId="0" applyNumberFormat="1" applyBorder="1"/>
    <xf numFmtId="0" fontId="12" fillId="0" borderId="53" xfId="0" applyFont="1" applyBorder="1" applyAlignment="1">
      <alignment horizontal="left" vertical="center"/>
    </xf>
    <xf numFmtId="0" fontId="0" fillId="0" borderId="70" xfId="0" applyBorder="1" applyAlignment="1">
      <alignment horizontal="center" wrapText="1"/>
    </xf>
    <xf numFmtId="167" fontId="0" fillId="0" borderId="67" xfId="0" applyNumberFormat="1" applyBorder="1"/>
    <xf numFmtId="167" fontId="0" fillId="0" borderId="59" xfId="0" applyNumberFormat="1" applyBorder="1"/>
    <xf numFmtId="167" fontId="0" fillId="0" borderId="65" xfId="0" applyNumberFormat="1" applyBorder="1"/>
    <xf numFmtId="0" fontId="0" fillId="0" borderId="74" xfId="0" applyBorder="1" applyAlignment="1">
      <alignment horizontal="center" wrapText="1"/>
    </xf>
    <xf numFmtId="0" fontId="0" fillId="0" borderId="19" xfId="0" applyBorder="1" applyAlignment="1">
      <alignment horizontal="center" wrapText="1"/>
    </xf>
    <xf numFmtId="0" fontId="0" fillId="0" borderId="61" xfId="0" applyBorder="1" applyAlignment="1">
      <alignment horizontal="center" wrapText="1"/>
    </xf>
    <xf numFmtId="0" fontId="0" fillId="0" borderId="41" xfId="0" applyBorder="1" applyAlignment="1">
      <alignment horizontal="center" wrapText="1"/>
    </xf>
    <xf numFmtId="0" fontId="0" fillId="0" borderId="53" xfId="0" applyBorder="1" applyAlignment="1">
      <alignment horizontal="center" wrapText="1"/>
    </xf>
    <xf numFmtId="166" fontId="0" fillId="0" borderId="67" xfId="2" applyNumberFormat="1" applyFont="1" applyFill="1" applyBorder="1"/>
    <xf numFmtId="166" fontId="0" fillId="0" borderId="59" xfId="2" applyNumberFormat="1" applyFont="1" applyFill="1" applyBorder="1"/>
    <xf numFmtId="166" fontId="0" fillId="0" borderId="65" xfId="2" applyNumberFormat="1" applyFont="1" applyFill="1" applyBorder="1"/>
    <xf numFmtId="0" fontId="0" fillId="0" borderId="0" xfId="0" applyAlignment="1">
      <alignment horizontal="center" textRotation="90" wrapText="1"/>
    </xf>
    <xf numFmtId="0" fontId="0" fillId="0" borderId="8" xfId="0" applyBorder="1"/>
    <xf numFmtId="0" fontId="0" fillId="3" borderId="15" xfId="0" applyFill="1" applyBorder="1"/>
    <xf numFmtId="167" fontId="0" fillId="0" borderId="24" xfId="0" applyNumberFormat="1" applyBorder="1"/>
    <xf numFmtId="167" fontId="0" fillId="0" borderId="37" xfId="0" applyNumberFormat="1" applyBorder="1"/>
    <xf numFmtId="167" fontId="0" fillId="0" borderId="44" xfId="0" applyNumberFormat="1" applyBorder="1"/>
    <xf numFmtId="0" fontId="12" fillId="0" borderId="13" xfId="0" applyFont="1" applyBorder="1" applyAlignment="1">
      <alignment horizontal="left" vertical="center"/>
    </xf>
    <xf numFmtId="0" fontId="12" fillId="0" borderId="14" xfId="0" applyFont="1" applyBorder="1" applyAlignment="1">
      <alignment horizontal="left" vertical="center"/>
    </xf>
    <xf numFmtId="0" fontId="20" fillId="0" borderId="14" xfId="0" applyFont="1" applyBorder="1" applyAlignment="1">
      <alignment horizontal="center" vertical="center"/>
    </xf>
    <xf numFmtId="0" fontId="20" fillId="0" borderId="26" xfId="0" applyFont="1" applyBorder="1" applyAlignment="1">
      <alignment horizontal="center" vertical="center"/>
    </xf>
    <xf numFmtId="0" fontId="0" fillId="0" borderId="29" xfId="0" applyBorder="1" applyAlignment="1">
      <alignment horizontal="center"/>
    </xf>
    <xf numFmtId="0" fontId="0" fillId="0" borderId="14" xfId="0" applyBorder="1" applyAlignment="1">
      <alignment horizontal="center"/>
    </xf>
    <xf numFmtId="0" fontId="0" fillId="0" borderId="26" xfId="0" applyBorder="1" applyAlignment="1">
      <alignment horizontal="center"/>
    </xf>
    <xf numFmtId="0" fontId="0" fillId="0" borderId="16" xfId="0" applyBorder="1" applyAlignment="1">
      <alignment horizontal="center"/>
    </xf>
    <xf numFmtId="0" fontId="12" fillId="0" borderId="46" xfId="0" applyFont="1" applyBorder="1" applyAlignment="1">
      <alignment horizontal="left" vertical="center"/>
    </xf>
    <xf numFmtId="0" fontId="0" fillId="0" borderId="45" xfId="0" applyBorder="1" applyAlignment="1">
      <alignment horizontal="center"/>
    </xf>
    <xf numFmtId="166" fontId="0" fillId="0" borderId="29" xfId="2" applyNumberFormat="1" applyFont="1" applyBorder="1" applyAlignment="1">
      <alignment horizontal="center"/>
    </xf>
    <xf numFmtId="166" fontId="0" fillId="0" borderId="14" xfId="2" applyNumberFormat="1" applyFont="1" applyBorder="1" applyAlignment="1">
      <alignment horizontal="center"/>
    </xf>
    <xf numFmtId="166" fontId="0" fillId="0" borderId="16" xfId="2" applyNumberFormat="1" applyFont="1" applyBorder="1" applyAlignment="1">
      <alignment horizontal="center"/>
    </xf>
    <xf numFmtId="0" fontId="12" fillId="0" borderId="46" xfId="0" applyFont="1" applyBorder="1" applyAlignment="1">
      <alignment horizontal="left"/>
    </xf>
    <xf numFmtId="0" fontId="12" fillId="0" borderId="50" xfId="0" applyFont="1" applyBorder="1" applyAlignment="1">
      <alignment horizontal="left"/>
    </xf>
    <xf numFmtId="166" fontId="0" fillId="0" borderId="51" xfId="2" applyNumberFormat="1" applyFont="1" applyBorder="1" applyAlignment="1">
      <alignment horizontal="center"/>
    </xf>
    <xf numFmtId="166" fontId="0" fillId="0" borderId="49" xfId="2" applyNumberFormat="1" applyFont="1" applyBorder="1"/>
    <xf numFmtId="0" fontId="12" fillId="0" borderId="80" xfId="0" applyFont="1" applyBorder="1" applyAlignment="1">
      <alignment horizontal="left"/>
    </xf>
    <xf numFmtId="166" fontId="0" fillId="0" borderId="21" xfId="0" applyNumberFormat="1" applyBorder="1"/>
    <xf numFmtId="166" fontId="0" fillId="0" borderId="14" xfId="0" applyNumberFormat="1" applyBorder="1"/>
    <xf numFmtId="166" fontId="0" fillId="0" borderId="7" xfId="0" applyNumberFormat="1" applyBorder="1" applyAlignment="1">
      <alignment horizontal="center"/>
    </xf>
    <xf numFmtId="166" fontId="0" fillId="0" borderId="16" xfId="0" applyNumberFormat="1" applyBorder="1"/>
    <xf numFmtId="166" fontId="0" fillId="0" borderId="52" xfId="2" applyNumberFormat="1" applyFont="1" applyBorder="1"/>
    <xf numFmtId="166" fontId="0" fillId="0" borderId="51" xfId="2" applyNumberFormat="1" applyFont="1" applyBorder="1"/>
    <xf numFmtId="166" fontId="0" fillId="0" borderId="47" xfId="0" applyNumberFormat="1" applyBorder="1" applyAlignment="1">
      <alignment horizontal="center"/>
    </xf>
    <xf numFmtId="166" fontId="0" fillId="0" borderId="45" xfId="0" applyNumberFormat="1" applyBorder="1"/>
    <xf numFmtId="166" fontId="0" fillId="0" borderId="51" xfId="0" applyNumberFormat="1" applyBorder="1" applyAlignment="1">
      <alignment horizontal="center"/>
    </xf>
    <xf numFmtId="166" fontId="0" fillId="0" borderId="49" xfId="0" applyNumberFormat="1" applyBorder="1"/>
    <xf numFmtId="166" fontId="0" fillId="0" borderId="52" xfId="0" applyNumberFormat="1" applyBorder="1"/>
    <xf numFmtId="166" fontId="0" fillId="0" borderId="51" xfId="0" applyNumberFormat="1" applyBorder="1"/>
    <xf numFmtId="171" fontId="0" fillId="0" borderId="24" xfId="2" applyNumberFormat="1" applyFont="1" applyBorder="1"/>
    <xf numFmtId="171" fontId="0" fillId="0" borderId="31" xfId="2" applyNumberFormat="1" applyFont="1" applyBorder="1"/>
    <xf numFmtId="171" fontId="0" fillId="0" borderId="37" xfId="2" applyNumberFormat="1" applyFont="1" applyBorder="1"/>
    <xf numFmtId="171" fontId="0" fillId="0" borderId="73" xfId="2" applyNumberFormat="1" applyFont="1" applyFill="1" applyBorder="1"/>
    <xf numFmtId="171" fontId="0" fillId="0" borderId="26" xfId="2" applyNumberFormat="1" applyFont="1" applyFill="1" applyBorder="1"/>
    <xf numFmtId="171" fontId="0" fillId="0" borderId="62" xfId="2" applyNumberFormat="1" applyFont="1" applyFill="1" applyBorder="1"/>
    <xf numFmtId="171" fontId="0" fillId="0" borderId="29" xfId="2" applyNumberFormat="1" applyFont="1" applyFill="1" applyBorder="1"/>
    <xf numFmtId="171" fontId="0" fillId="0" borderId="10" xfId="2" applyNumberFormat="1" applyFont="1" applyBorder="1"/>
    <xf numFmtId="171" fontId="0" fillId="0" borderId="28" xfId="2" applyNumberFormat="1" applyFont="1" applyFill="1" applyBorder="1"/>
    <xf numFmtId="171" fontId="0" fillId="0" borderId="14" xfId="2" applyNumberFormat="1" applyFont="1" applyFill="1" applyBorder="1"/>
    <xf numFmtId="171" fontId="0" fillId="0" borderId="6" xfId="2" applyNumberFormat="1" applyFont="1" applyBorder="1"/>
    <xf numFmtId="171" fontId="0" fillId="0" borderId="30" xfId="2" applyNumberFormat="1" applyFont="1" applyFill="1" applyBorder="1"/>
    <xf numFmtId="171" fontId="0" fillId="0" borderId="16" xfId="2" applyNumberFormat="1" applyFont="1" applyFill="1" applyBorder="1"/>
    <xf numFmtId="171" fontId="0" fillId="0" borderId="0" xfId="2" applyNumberFormat="1" applyFont="1" applyFill="1" applyBorder="1"/>
    <xf numFmtId="182" fontId="2" fillId="0" borderId="37" xfId="0" applyNumberFormat="1" applyFont="1" applyBorder="1" applyAlignment="1">
      <alignment horizontal="center" vertical="center" wrapText="1"/>
    </xf>
    <xf numFmtId="0" fontId="3" fillId="0" borderId="51" xfId="0" applyFont="1" applyBorder="1" applyAlignment="1">
      <alignment horizontal="center" vertical="center" wrapText="1"/>
    </xf>
    <xf numFmtId="0" fontId="3" fillId="0" borderId="51" xfId="0" applyFont="1" applyBorder="1" applyAlignment="1">
      <alignment horizontal="right" vertical="center" wrapText="1"/>
    </xf>
    <xf numFmtId="0" fontId="3" fillId="0" borderId="49" xfId="0" applyFont="1" applyBorder="1" applyAlignment="1">
      <alignment horizontal="left" vertical="center" wrapText="1"/>
    </xf>
    <xf numFmtId="9" fontId="0" fillId="0" borderId="3" xfId="0" applyNumberFormat="1" applyBorder="1"/>
    <xf numFmtId="0" fontId="0" fillId="2" borderId="6" xfId="0" applyFill="1" applyBorder="1"/>
    <xf numFmtId="169" fontId="0" fillId="0" borderId="3" xfId="0" applyNumberFormat="1" applyBorder="1"/>
    <xf numFmtId="0" fontId="2" fillId="0" borderId="18" xfId="0" applyFont="1" applyBorder="1"/>
    <xf numFmtId="6" fontId="0" fillId="0" borderId="19" xfId="0" applyNumberFormat="1" applyBorder="1"/>
    <xf numFmtId="9" fontId="0" fillId="2" borderId="10" xfId="0" applyNumberFormat="1" applyFill="1" applyBorder="1"/>
    <xf numFmtId="6" fontId="0" fillId="2" borderId="10" xfId="0" applyNumberFormat="1" applyFill="1" applyBorder="1"/>
    <xf numFmtId="175" fontId="0" fillId="0" borderId="9" xfId="0" applyNumberFormat="1" applyBorder="1"/>
    <xf numFmtId="6" fontId="0" fillId="0" borderId="61" xfId="0" applyNumberFormat="1" applyBorder="1"/>
    <xf numFmtId="0" fontId="0" fillId="4" borderId="58" xfId="0" applyFill="1" applyBorder="1" applyAlignment="1">
      <alignment horizontal="center" wrapText="1"/>
    </xf>
    <xf numFmtId="0" fontId="0" fillId="4" borderId="62" xfId="0" applyFill="1" applyBorder="1"/>
    <xf numFmtId="171" fontId="0" fillId="3" borderId="57" xfId="0" applyNumberFormat="1" applyFill="1" applyBorder="1"/>
    <xf numFmtId="172" fontId="0" fillId="0" borderId="67" xfId="0" applyNumberFormat="1" applyBorder="1"/>
    <xf numFmtId="172" fontId="0" fillId="0" borderId="59" xfId="0" applyNumberFormat="1" applyBorder="1"/>
    <xf numFmtId="171" fontId="0" fillId="0" borderId="59" xfId="0" applyNumberFormat="1" applyBorder="1"/>
    <xf numFmtId="171" fontId="0" fillId="3" borderId="48" xfId="0" applyNumberFormat="1" applyFill="1" applyBorder="1"/>
    <xf numFmtId="171" fontId="0" fillId="9" borderId="35" xfId="0" applyNumberFormat="1" applyFill="1" applyBorder="1"/>
    <xf numFmtId="171" fontId="0" fillId="3" borderId="1" xfId="0" applyNumberFormat="1" applyFill="1" applyBorder="1"/>
    <xf numFmtId="171" fontId="0" fillId="4" borderId="28" xfId="0" applyNumberFormat="1" applyFill="1" applyBorder="1"/>
    <xf numFmtId="171" fontId="0" fillId="9" borderId="4" xfId="0" applyNumberFormat="1" applyFill="1" applyBorder="1"/>
    <xf numFmtId="171" fontId="0" fillId="9" borderId="30" xfId="0" applyNumberFormat="1" applyFill="1" applyBorder="1"/>
    <xf numFmtId="175" fontId="0" fillId="0" borderId="59" xfId="0" applyNumberFormat="1" applyBorder="1"/>
    <xf numFmtId="171" fontId="0" fillId="3" borderId="63" xfId="0" applyNumberFormat="1" applyFill="1" applyBorder="1"/>
    <xf numFmtId="171" fontId="0" fillId="9" borderId="59" xfId="0" applyNumberFormat="1" applyFill="1" applyBorder="1"/>
    <xf numFmtId="171" fontId="0" fillId="9" borderId="65" xfId="0" applyNumberFormat="1" applyFill="1" applyBorder="1"/>
    <xf numFmtId="171" fontId="0" fillId="3" borderId="9" xfId="0" applyNumberFormat="1" applyFill="1" applyBorder="1"/>
    <xf numFmtId="171" fontId="0" fillId="5" borderId="62" xfId="0" applyNumberFormat="1" applyFill="1" applyBorder="1"/>
    <xf numFmtId="171" fontId="0" fillId="3" borderId="28" xfId="0" applyNumberFormat="1" applyFill="1" applyBorder="1"/>
    <xf numFmtId="171" fontId="0" fillId="9" borderId="28" xfId="0" applyNumberFormat="1" applyFill="1" applyBorder="1"/>
    <xf numFmtId="179" fontId="0" fillId="9" borderId="30" xfId="1" applyNumberFormat="1" applyFont="1" applyFill="1" applyBorder="1"/>
    <xf numFmtId="171" fontId="0" fillId="5" borderId="67" xfId="0" applyNumberFormat="1" applyFill="1" applyBorder="1"/>
    <xf numFmtId="171" fontId="0" fillId="3" borderId="59" xfId="0" applyNumberFormat="1" applyFill="1" applyBorder="1"/>
    <xf numFmtId="179" fontId="0" fillId="9" borderId="65" xfId="1" applyNumberFormat="1" applyFont="1" applyFill="1" applyBorder="1"/>
    <xf numFmtId="6" fontId="0" fillId="4" borderId="31" xfId="0" applyNumberFormat="1" applyFill="1" applyBorder="1" applyAlignment="1">
      <alignment horizontal="center"/>
    </xf>
    <xf numFmtId="6" fontId="0" fillId="4" borderId="7" xfId="0" applyNumberFormat="1" applyFill="1" applyBorder="1" applyAlignment="1">
      <alignment horizontal="center"/>
    </xf>
    <xf numFmtId="9" fontId="0" fillId="4" borderId="7" xfId="0" applyNumberFormat="1" applyFill="1" applyBorder="1"/>
    <xf numFmtId="9" fontId="0" fillId="0" borderId="7" xfId="1" applyFont="1" applyBorder="1"/>
    <xf numFmtId="43" fontId="0" fillId="4" borderId="9" xfId="2" applyFont="1" applyFill="1" applyBorder="1"/>
    <xf numFmtId="0" fontId="0" fillId="0" borderId="11" xfId="0" applyBorder="1" applyAlignment="1">
      <alignment vertical="top"/>
    </xf>
    <xf numFmtId="0" fontId="0" fillId="0" borderId="20" xfId="0" applyBorder="1" applyAlignment="1">
      <alignment vertical="top"/>
    </xf>
    <xf numFmtId="0" fontId="0" fillId="0" borderId="17" xfId="0" applyBorder="1" applyAlignment="1">
      <alignment vertical="top"/>
    </xf>
    <xf numFmtId="0" fontId="0" fillId="0" borderId="13" xfId="0" applyBorder="1" applyAlignment="1">
      <alignment vertical="top"/>
    </xf>
    <xf numFmtId="0" fontId="0" fillId="3" borderId="17" xfId="0" applyFill="1" applyBorder="1" applyAlignment="1">
      <alignment vertical="top"/>
    </xf>
    <xf numFmtId="0" fontId="0" fillId="3" borderId="13" xfId="0" applyFill="1" applyBorder="1" applyAlignment="1">
      <alignment vertical="top"/>
    </xf>
    <xf numFmtId="0" fontId="0" fillId="3" borderId="32" xfId="0" applyFill="1" applyBorder="1" applyAlignment="1">
      <alignment vertical="top"/>
    </xf>
    <xf numFmtId="0" fontId="0" fillId="9" borderId="60" xfId="0" applyFill="1" applyBorder="1" applyAlignment="1">
      <alignment vertical="top"/>
    </xf>
    <xf numFmtId="0" fontId="0" fillId="9" borderId="13" xfId="0" applyFill="1" applyBorder="1" applyAlignment="1">
      <alignment vertical="top"/>
    </xf>
    <xf numFmtId="0" fontId="0" fillId="9" borderId="15" xfId="0" applyFill="1" applyBorder="1" applyAlignment="1">
      <alignment vertical="top"/>
    </xf>
    <xf numFmtId="0" fontId="0" fillId="0" borderId="13" xfId="0" applyBorder="1" applyAlignment="1">
      <alignment horizontal="left" vertical="top"/>
    </xf>
    <xf numFmtId="0" fontId="0" fillId="0" borderId="13" xfId="0" applyBorder="1" applyAlignment="1">
      <alignment horizontal="left" vertical="top" wrapText="1"/>
    </xf>
    <xf numFmtId="0" fontId="0" fillId="0" borderId="13" xfId="0" applyBorder="1" applyAlignment="1">
      <alignment vertical="top" wrapText="1"/>
    </xf>
    <xf numFmtId="0" fontId="0" fillId="0" borderId="78" xfId="0" applyBorder="1" applyAlignment="1">
      <alignment vertical="top" wrapText="1"/>
    </xf>
    <xf numFmtId="0" fontId="0" fillId="0" borderId="15" xfId="0" applyBorder="1" applyAlignment="1">
      <alignment horizontal="left" vertical="top" wrapText="1"/>
    </xf>
    <xf numFmtId="0" fontId="0" fillId="4" borderId="39" xfId="0" applyFill="1" applyBorder="1" applyAlignment="1">
      <alignment vertical="top" wrapText="1"/>
    </xf>
    <xf numFmtId="0" fontId="0" fillId="4" borderId="9" xfId="0" applyFill="1" applyBorder="1" applyAlignment="1">
      <alignment vertical="top" wrapText="1"/>
    </xf>
    <xf numFmtId="0" fontId="0" fillId="0" borderId="8" xfId="0" applyBorder="1" applyAlignment="1">
      <alignment vertical="top"/>
    </xf>
    <xf numFmtId="0" fontId="0" fillId="4" borderId="13" xfId="0" applyFill="1" applyBorder="1" applyAlignment="1">
      <alignment vertical="top" wrapText="1"/>
    </xf>
    <xf numFmtId="0" fontId="0" fillId="4" borderId="7" xfId="0" applyFill="1" applyBorder="1" applyAlignment="1">
      <alignment vertical="top" wrapText="1"/>
    </xf>
    <xf numFmtId="0" fontId="0" fillId="4" borderId="38" xfId="0" applyFill="1" applyBorder="1" applyAlignment="1">
      <alignment vertical="top" wrapText="1"/>
    </xf>
    <xf numFmtId="0" fontId="0" fillId="4" borderId="60" xfId="0" applyFill="1" applyBorder="1" applyAlignment="1">
      <alignment vertical="top" wrapText="1"/>
    </xf>
    <xf numFmtId="0" fontId="0" fillId="4" borderId="15" xfId="0" applyFill="1" applyBorder="1" applyAlignment="1">
      <alignment vertical="top" wrapText="1"/>
    </xf>
    <xf numFmtId="0" fontId="0" fillId="4" borderId="9" xfId="0" applyFill="1" applyBorder="1" applyAlignment="1">
      <alignment vertical="top"/>
    </xf>
    <xf numFmtId="0" fontId="0" fillId="4" borderId="15" xfId="0" applyFill="1" applyBorder="1" applyAlignment="1">
      <alignment vertical="top"/>
    </xf>
    <xf numFmtId="0" fontId="0" fillId="4" borderId="21" xfId="0" applyFill="1" applyBorder="1" applyAlignment="1">
      <alignment vertical="top" wrapText="1"/>
    </xf>
    <xf numFmtId="0" fontId="0" fillId="4" borderId="14" xfId="0" applyFill="1" applyBorder="1" applyAlignment="1">
      <alignment horizontal="left" vertical="top" wrapText="1"/>
    </xf>
    <xf numFmtId="0" fontId="0" fillId="4" borderId="14" xfId="0" applyFill="1" applyBorder="1" applyAlignment="1">
      <alignment vertical="top" wrapText="1"/>
    </xf>
    <xf numFmtId="164" fontId="0" fillId="4" borderId="14" xfId="1" applyNumberFormat="1" applyFont="1" applyFill="1" applyBorder="1" applyAlignment="1">
      <alignment vertical="top" wrapText="1"/>
    </xf>
    <xf numFmtId="164" fontId="0" fillId="4" borderId="26" xfId="1" applyNumberFormat="1" applyFont="1" applyFill="1" applyBorder="1" applyAlignment="1">
      <alignment vertical="top" wrapText="1"/>
    </xf>
    <xf numFmtId="164" fontId="8" fillId="4" borderId="14" xfId="3" applyNumberFormat="1" applyFill="1" applyBorder="1" applyAlignment="1">
      <alignment vertical="top" wrapText="1"/>
    </xf>
    <xf numFmtId="164" fontId="8" fillId="4" borderId="16" xfId="3" applyNumberFormat="1" applyFill="1" applyBorder="1" applyAlignment="1">
      <alignment vertical="top" wrapText="1"/>
    </xf>
    <xf numFmtId="164" fontId="0" fillId="4" borderId="16" xfId="1" applyNumberFormat="1" applyFont="1" applyFill="1" applyBorder="1" applyAlignment="1">
      <alignment vertical="top" wrapText="1"/>
    </xf>
    <xf numFmtId="0" fontId="0" fillId="4" borderId="26" xfId="0" applyFill="1" applyBorder="1" applyAlignment="1">
      <alignment vertical="top" wrapText="1"/>
    </xf>
    <xf numFmtId="0" fontId="0" fillId="4" borderId="16" xfId="0" applyFill="1" applyBorder="1" applyAlignment="1">
      <alignment vertical="top" wrapText="1"/>
    </xf>
    <xf numFmtId="0" fontId="8" fillId="4" borderId="14" xfId="3" applyFill="1" applyBorder="1" applyAlignment="1">
      <alignment vertical="top" wrapText="1"/>
    </xf>
    <xf numFmtId="164" fontId="0" fillId="4" borderId="29" xfId="1" applyNumberFormat="1" applyFont="1" applyFill="1" applyBorder="1" applyAlignment="1">
      <alignment vertical="top" wrapText="1"/>
    </xf>
    <xf numFmtId="164" fontId="23" fillId="9" borderId="29" xfId="0" applyNumberFormat="1" applyFont="1" applyFill="1" applyBorder="1"/>
    <xf numFmtId="164" fontId="23" fillId="9" borderId="14" xfId="0" applyNumberFormat="1" applyFont="1" applyFill="1" applyBorder="1"/>
    <xf numFmtId="169" fontId="23" fillId="9" borderId="14" xfId="0" applyNumberFormat="1" applyFont="1" applyFill="1" applyBorder="1"/>
    <xf numFmtId="0" fontId="22" fillId="9" borderId="14" xfId="0" applyFont="1" applyFill="1" applyBorder="1"/>
    <xf numFmtId="0" fontId="22" fillId="9" borderId="16" xfId="0" applyFont="1" applyFill="1" applyBorder="1"/>
    <xf numFmtId="0" fontId="0" fillId="0" borderId="0" xfId="0" applyAlignment="1">
      <alignment horizontal="center" vertical="center" wrapText="1"/>
    </xf>
    <xf numFmtId="0" fontId="0" fillId="0" borderId="0" xfId="0" applyAlignment="1">
      <alignment vertical="top"/>
    </xf>
    <xf numFmtId="6" fontId="0" fillId="0" borderId="0" xfId="0" applyNumberFormat="1"/>
    <xf numFmtId="6" fontId="0" fillId="0" borderId="66" xfId="0" applyNumberFormat="1" applyBorder="1"/>
    <xf numFmtId="0" fontId="0" fillId="0" borderId="8" xfId="0" applyBorder="1" applyAlignment="1">
      <alignment horizontal="left" vertical="top" wrapText="1"/>
    </xf>
    <xf numFmtId="0" fontId="0" fillId="0" borderId="8" xfId="0" applyBorder="1" applyAlignment="1">
      <alignment horizontal="center" vertical="center" wrapText="1"/>
    </xf>
    <xf numFmtId="0" fontId="0" fillId="0" borderId="8" xfId="0" applyBorder="1" applyAlignment="1">
      <alignment vertical="center"/>
    </xf>
    <xf numFmtId="164" fontId="8" fillId="0" borderId="25" xfId="3" applyNumberFormat="1" applyFill="1" applyBorder="1" applyAlignment="1">
      <alignment vertical="top" wrapText="1"/>
    </xf>
    <xf numFmtId="6" fontId="0" fillId="0" borderId="8" xfId="0" applyNumberFormat="1" applyBorder="1"/>
    <xf numFmtId="0" fontId="0" fillId="0" borderId="25" xfId="0" applyBorder="1" applyAlignment="1">
      <alignment vertical="top" wrapText="1"/>
    </xf>
    <xf numFmtId="0" fontId="0" fillId="0" borderId="8" xfId="0" applyBorder="1" applyAlignment="1">
      <alignment vertical="top" wrapText="1"/>
    </xf>
    <xf numFmtId="0" fontId="2" fillId="0" borderId="18" xfId="0" applyFont="1" applyBorder="1" applyAlignment="1">
      <alignment horizontal="left" vertical="center"/>
    </xf>
    <xf numFmtId="0" fontId="0" fillId="0" borderId="22" xfId="0" applyBorder="1" applyAlignment="1">
      <alignment vertical="top" wrapText="1"/>
    </xf>
    <xf numFmtId="169" fontId="0" fillId="4" borderId="9" xfId="0" applyNumberFormat="1" applyFill="1" applyBorder="1"/>
    <xf numFmtId="0" fontId="2" fillId="0" borderId="72" xfId="0" applyFont="1" applyBorder="1"/>
    <xf numFmtId="164" fontId="0" fillId="4" borderId="9" xfId="1" applyNumberFormat="1" applyFont="1" applyFill="1" applyBorder="1" applyAlignment="1">
      <alignment horizontal="right" wrapText="1"/>
    </xf>
    <xf numFmtId="164" fontId="0" fillId="0" borderId="9" xfId="1" applyNumberFormat="1" applyFont="1" applyFill="1" applyBorder="1" applyAlignment="1">
      <alignment horizontal="right" wrapText="1"/>
    </xf>
    <xf numFmtId="0" fontId="3" fillId="0" borderId="18" xfId="0" applyFont="1" applyBorder="1" applyAlignment="1">
      <alignment horizontal="left" vertical="center" wrapText="1"/>
    </xf>
    <xf numFmtId="0" fontId="3" fillId="0" borderId="8" xfId="0" applyFont="1" applyBorder="1" applyAlignment="1">
      <alignment horizontal="center" vertical="center" wrapText="1"/>
    </xf>
    <xf numFmtId="0" fontId="3" fillId="0" borderId="8" xfId="0" applyFont="1" applyBorder="1" applyAlignment="1">
      <alignment horizontal="right" vertical="center" wrapText="1"/>
    </xf>
    <xf numFmtId="0" fontId="3" fillId="0" borderId="25" xfId="0" applyFont="1" applyBorder="1" applyAlignment="1">
      <alignment horizontal="left" vertical="center" wrapText="1"/>
    </xf>
    <xf numFmtId="0" fontId="2" fillId="0" borderId="18" xfId="0" applyFont="1" applyBorder="1" applyAlignment="1">
      <alignment horizontal="left"/>
    </xf>
    <xf numFmtId="0" fontId="0" fillId="0" borderId="78" xfId="0" applyBorder="1" applyAlignment="1">
      <alignment vertical="top"/>
    </xf>
    <xf numFmtId="0" fontId="0" fillId="3" borderId="20" xfId="0" applyFill="1" applyBorder="1" applyAlignment="1">
      <alignment vertical="top"/>
    </xf>
    <xf numFmtId="0" fontId="0" fillId="3" borderId="39" xfId="0" applyFill="1" applyBorder="1" applyAlignment="1">
      <alignment horizontal="center"/>
    </xf>
    <xf numFmtId="0" fontId="0" fillId="5" borderId="60" xfId="0" applyFill="1" applyBorder="1" applyAlignment="1">
      <alignment vertical="top"/>
    </xf>
    <xf numFmtId="0" fontId="0" fillId="5" borderId="31" xfId="0" applyFill="1" applyBorder="1" applyAlignment="1">
      <alignment horizontal="center"/>
    </xf>
    <xf numFmtId="0" fontId="0" fillId="5" borderId="27" xfId="0" applyFill="1" applyBorder="1" applyAlignment="1">
      <alignment vertical="top"/>
    </xf>
    <xf numFmtId="0" fontId="0" fillId="5" borderId="7" xfId="0" applyFill="1" applyBorder="1" applyAlignment="1">
      <alignment horizontal="center"/>
    </xf>
    <xf numFmtId="171" fontId="0" fillId="5" borderId="58" xfId="0" applyNumberFormat="1" applyFill="1" applyBorder="1"/>
    <xf numFmtId="0" fontId="12" fillId="0" borderId="12" xfId="0" applyFont="1" applyBorder="1" applyAlignment="1">
      <alignment horizontal="left" wrapText="1"/>
    </xf>
    <xf numFmtId="0" fontId="12" fillId="0" borderId="4" xfId="0" applyFont="1" applyBorder="1" applyAlignment="1">
      <alignment horizontal="left" wrapText="1"/>
    </xf>
    <xf numFmtId="0" fontId="12" fillId="0" borderId="5" xfId="0" applyFont="1" applyBorder="1" applyAlignment="1">
      <alignment horizontal="left" wrapText="1"/>
    </xf>
    <xf numFmtId="15" fontId="20" fillId="0" borderId="46" xfId="0" applyNumberFormat="1" applyFont="1" applyBorder="1"/>
    <xf numFmtId="0" fontId="20" fillId="0" borderId="43" xfId="0" applyFont="1" applyBorder="1"/>
    <xf numFmtId="6" fontId="0" fillId="0" borderId="29" xfId="0" applyNumberFormat="1" applyBorder="1"/>
    <xf numFmtId="6" fontId="0" fillId="0" borderId="14" xfId="0" applyNumberFormat="1" applyBorder="1"/>
    <xf numFmtId="9" fontId="0" fillId="0" borderId="14" xfId="0" applyNumberFormat="1" applyBorder="1"/>
    <xf numFmtId="0" fontId="20" fillId="11" borderId="60" xfId="0" applyFont="1" applyFill="1" applyBorder="1"/>
    <xf numFmtId="0" fontId="20" fillId="11" borderId="29" xfId="0" applyFont="1" applyFill="1" applyBorder="1"/>
    <xf numFmtId="178" fontId="20" fillId="11" borderId="13" xfId="0" applyNumberFormat="1" applyFont="1" applyFill="1" applyBorder="1"/>
    <xf numFmtId="0" fontId="20" fillId="11" borderId="14" xfId="0" applyFont="1" applyFill="1" applyBorder="1"/>
    <xf numFmtId="168" fontId="20" fillId="11" borderId="15" xfId="0" applyNumberFormat="1" applyFont="1" applyFill="1" applyBorder="1"/>
    <xf numFmtId="0" fontId="20" fillId="11" borderId="16" xfId="0" applyFont="1" applyFill="1" applyBorder="1"/>
    <xf numFmtId="0" fontId="12" fillId="11" borderId="60" xfId="0" applyFont="1" applyFill="1" applyBorder="1" applyAlignment="1">
      <alignment horizontal="left" vertical="center"/>
    </xf>
    <xf numFmtId="0" fontId="12" fillId="11" borderId="64" xfId="0" applyFont="1" applyFill="1" applyBorder="1" applyAlignment="1">
      <alignment horizontal="center"/>
    </xf>
    <xf numFmtId="0" fontId="0" fillId="11" borderId="36" xfId="0" applyFill="1" applyBorder="1"/>
    <xf numFmtId="0" fontId="0" fillId="11" borderId="78" xfId="0" applyFill="1" applyBorder="1"/>
    <xf numFmtId="0" fontId="0" fillId="0" borderId="0" xfId="0" applyAlignment="1">
      <alignment horizontal="left" vertical="center" indent="1"/>
    </xf>
    <xf numFmtId="0" fontId="0" fillId="0" borderId="0" xfId="0" applyAlignment="1">
      <alignment horizontal="left" vertical="center" indent="2"/>
    </xf>
    <xf numFmtId="0" fontId="3" fillId="0" borderId="0" xfId="0" applyFont="1" applyAlignment="1">
      <alignment vertical="top"/>
    </xf>
    <xf numFmtId="0" fontId="0" fillId="0" borderId="0" xfId="0" applyAlignment="1">
      <alignment vertical="top" wrapText="1"/>
    </xf>
    <xf numFmtId="2" fontId="0" fillId="0" borderId="42" xfId="0" applyNumberFormat="1" applyBorder="1"/>
    <xf numFmtId="0" fontId="21" fillId="0" borderId="0" xfId="0" applyFont="1" applyAlignment="1">
      <alignment horizontal="center"/>
    </xf>
    <xf numFmtId="169" fontId="0" fillId="2" borderId="10" xfId="0" applyNumberFormat="1" applyFill="1" applyBorder="1"/>
    <xf numFmtId="169" fontId="0" fillId="2" borderId="9" xfId="0" applyNumberFormat="1" applyFill="1" applyBorder="1"/>
    <xf numFmtId="169" fontId="0" fillId="2" borderId="14" xfId="0" applyNumberFormat="1" applyFill="1" applyBorder="1"/>
    <xf numFmtId="2" fontId="29" fillId="12" borderId="79" xfId="9" applyNumberFormat="1" applyFont="1" applyFill="1" applyBorder="1" applyAlignment="1">
      <alignment horizontal="right" vertical="top" shrinkToFit="1"/>
    </xf>
    <xf numFmtId="2" fontId="29" fillId="12" borderId="79" xfId="9" applyNumberFormat="1" applyFont="1" applyFill="1" applyBorder="1" applyAlignment="1">
      <alignment horizontal="right" vertical="top" indent="1" shrinkToFit="1"/>
    </xf>
    <xf numFmtId="2" fontId="29" fillId="12" borderId="79" xfId="9" applyNumberFormat="1" applyFont="1" applyFill="1" applyBorder="1" applyAlignment="1">
      <alignment horizontal="center" vertical="top" shrinkToFit="1"/>
    </xf>
    <xf numFmtId="2" fontId="29" fillId="12" borderId="79" xfId="9" applyNumberFormat="1" applyFont="1" applyFill="1" applyBorder="1" applyAlignment="1">
      <alignment horizontal="left" vertical="top" shrinkToFit="1"/>
    </xf>
    <xf numFmtId="0" fontId="30" fillId="12" borderId="79" xfId="9" applyFont="1" applyFill="1" applyBorder="1" applyAlignment="1">
      <alignment horizontal="left" vertical="top" wrapText="1" indent="1"/>
    </xf>
    <xf numFmtId="2" fontId="29" fillId="12" borderId="79" xfId="9" applyNumberFormat="1" applyFont="1" applyFill="1" applyBorder="1" applyAlignment="1">
      <alignment horizontal="left" vertical="top" indent="1" shrinkToFit="1"/>
    </xf>
    <xf numFmtId="0" fontId="3" fillId="0" borderId="0" xfId="0" applyFont="1"/>
    <xf numFmtId="0" fontId="34" fillId="0" borderId="0" xfId="9" applyFont="1" applyAlignment="1">
      <alignment horizontal="left"/>
    </xf>
    <xf numFmtId="169" fontId="0" fillId="4" borderId="39" xfId="0" applyNumberFormat="1" applyFill="1" applyBorder="1"/>
    <xf numFmtId="0" fontId="21" fillId="0" borderId="72" xfId="0" applyFont="1" applyBorder="1" applyAlignment="1">
      <alignment horizontal="centerContinuous"/>
    </xf>
    <xf numFmtId="0" fontId="21" fillId="0" borderId="0" xfId="0" applyFont="1" applyAlignment="1">
      <alignment horizontal="centerContinuous"/>
    </xf>
    <xf numFmtId="0" fontId="21" fillId="0" borderId="55" xfId="0" applyFont="1" applyBorder="1" applyAlignment="1">
      <alignment horizontal="centerContinuous"/>
    </xf>
    <xf numFmtId="0" fontId="21" fillId="0" borderId="56" xfId="0" applyFont="1" applyBorder="1" applyAlignment="1">
      <alignment horizontal="centerContinuous"/>
    </xf>
    <xf numFmtId="0" fontId="21" fillId="0" borderId="68" xfId="0" applyFont="1" applyBorder="1" applyAlignment="1">
      <alignment horizontal="centerContinuous"/>
    </xf>
    <xf numFmtId="0" fontId="0" fillId="3" borderId="42" xfId="0" applyFill="1" applyBorder="1" applyAlignment="1">
      <alignment horizontal="left"/>
    </xf>
    <xf numFmtId="0" fontId="0" fillId="0" borderId="42" xfId="0" applyBorder="1" applyAlignment="1">
      <alignment horizontal="left"/>
    </xf>
    <xf numFmtId="169" fontId="0" fillId="0" borderId="64" xfId="0" applyNumberFormat="1" applyBorder="1" applyAlignment="1">
      <alignment horizontal="left"/>
    </xf>
    <xf numFmtId="169" fontId="0" fillId="0" borderId="42" xfId="0" applyNumberFormat="1" applyBorder="1" applyAlignment="1">
      <alignment horizontal="left"/>
    </xf>
    <xf numFmtId="6" fontId="0" fillId="0" borderId="42" xfId="0" applyNumberFormat="1" applyBorder="1" applyAlignment="1">
      <alignment horizontal="left"/>
    </xf>
    <xf numFmtId="164" fontId="0" fillId="0" borderId="42" xfId="0" applyNumberFormat="1" applyBorder="1" applyAlignment="1">
      <alignment horizontal="left"/>
    </xf>
    <xf numFmtId="0" fontId="0" fillId="5" borderId="64" xfId="0" applyFill="1" applyBorder="1" applyAlignment="1">
      <alignment horizontal="left"/>
    </xf>
    <xf numFmtId="0" fontId="0" fillId="5" borderId="58" xfId="0" applyFill="1" applyBorder="1" applyAlignment="1">
      <alignment horizontal="left"/>
    </xf>
    <xf numFmtId="0" fontId="0" fillId="3" borderId="58" xfId="0" applyFill="1" applyBorder="1" applyAlignment="1">
      <alignment horizontal="left"/>
    </xf>
    <xf numFmtId="0" fontId="0" fillId="3" borderId="23" xfId="0" applyFill="1" applyBorder="1" applyAlignment="1">
      <alignment horizontal="left"/>
    </xf>
    <xf numFmtId="183" fontId="0" fillId="0" borderId="67" xfId="2" applyNumberFormat="1" applyFont="1" applyBorder="1"/>
    <xf numFmtId="0" fontId="12" fillId="0" borderId="74" xfId="0" applyFont="1" applyBorder="1" applyAlignment="1">
      <alignment vertical="center"/>
    </xf>
    <xf numFmtId="0" fontId="12" fillId="0" borderId="19" xfId="0" applyFont="1" applyBorder="1" applyAlignment="1">
      <alignment horizontal="right" vertical="center"/>
    </xf>
    <xf numFmtId="0" fontId="12" fillId="0" borderId="19" xfId="0" applyFont="1" applyBorder="1" applyAlignment="1">
      <alignment horizontal="right" vertical="center" wrapText="1"/>
    </xf>
    <xf numFmtId="0" fontId="12" fillId="0" borderId="41" xfId="0" applyFont="1" applyBorder="1" applyAlignment="1">
      <alignment horizontal="right" vertical="center" wrapText="1"/>
    </xf>
    <xf numFmtId="0" fontId="12" fillId="0" borderId="61" xfId="0" applyFont="1" applyBorder="1" applyAlignment="1">
      <alignment horizontal="left" vertical="center" wrapText="1"/>
    </xf>
    <xf numFmtId="0" fontId="2" fillId="0" borderId="28" xfId="0" applyFont="1" applyBorder="1"/>
    <xf numFmtId="0" fontId="3" fillId="0" borderId="0" xfId="0" applyFont="1" applyAlignment="1">
      <alignment horizontal="center" vertical="center" textRotation="90" wrapText="1"/>
    </xf>
    <xf numFmtId="0" fontId="6" fillId="0" borderId="0" xfId="0" applyFont="1" applyAlignment="1">
      <alignment horizontal="right" vertical="center" wrapText="1"/>
    </xf>
    <xf numFmtId="0" fontId="6" fillId="0" borderId="0" xfId="0" applyFont="1" applyAlignment="1">
      <alignment horizontal="center" vertical="center" wrapText="1"/>
    </xf>
    <xf numFmtId="0" fontId="3" fillId="0" borderId="0" xfId="0" applyFont="1" applyAlignment="1">
      <alignment vertical="center" textRotation="90" wrapText="1"/>
    </xf>
    <xf numFmtId="0" fontId="0" fillId="0" borderId="9" xfId="0" applyBorder="1" applyAlignment="1">
      <alignment horizontal="right" vertical="center"/>
    </xf>
    <xf numFmtId="0" fontId="0" fillId="0" borderId="31" xfId="0" applyBorder="1" applyAlignment="1">
      <alignment horizontal="right" vertical="center"/>
    </xf>
    <xf numFmtId="0" fontId="0" fillId="0" borderId="29" xfId="0" applyBorder="1"/>
    <xf numFmtId="0" fontId="0" fillId="0" borderId="7" xfId="0" applyBorder="1" applyAlignment="1">
      <alignment horizontal="right" vertical="center"/>
    </xf>
    <xf numFmtId="0" fontId="6" fillId="0" borderId="72" xfId="0" applyFont="1" applyBorder="1"/>
    <xf numFmtId="0" fontId="6" fillId="0" borderId="50" xfId="0" applyFont="1" applyBorder="1"/>
    <xf numFmtId="0" fontId="6" fillId="0" borderId="51" xfId="0" applyFont="1" applyBorder="1" applyAlignment="1">
      <alignment horizontal="center" vertical="center" wrapText="1"/>
    </xf>
    <xf numFmtId="0" fontId="6" fillId="0" borderId="51" xfId="0" applyFont="1" applyBorder="1" applyAlignment="1">
      <alignment horizontal="right" vertical="center" wrapText="1"/>
    </xf>
    <xf numFmtId="0" fontId="6" fillId="0" borderId="49" xfId="0" applyFont="1" applyBorder="1" applyAlignment="1">
      <alignment horizontal="center" vertical="center" wrapText="1"/>
    </xf>
    <xf numFmtId="0" fontId="0" fillId="0" borderId="71" xfId="0" applyBorder="1" applyAlignment="1">
      <alignment horizontal="left"/>
    </xf>
    <xf numFmtId="0" fontId="0" fillId="9" borderId="64" xfId="0" applyFill="1" applyBorder="1" applyAlignment="1">
      <alignment horizontal="left"/>
    </xf>
    <xf numFmtId="0" fontId="0" fillId="9" borderId="42" xfId="0" applyFill="1" applyBorder="1" applyAlignment="1">
      <alignment horizontal="left"/>
    </xf>
    <xf numFmtId="0" fontId="0" fillId="9" borderId="58" xfId="0" applyFill="1" applyBorder="1" applyAlignment="1">
      <alignment horizontal="left"/>
    </xf>
    <xf numFmtId="0" fontId="3" fillId="13" borderId="55" xfId="0" applyFont="1" applyFill="1" applyBorder="1" applyAlignment="1">
      <alignment horizontal="center" vertical="center" wrapText="1"/>
    </xf>
    <xf numFmtId="0" fontId="2" fillId="13" borderId="35" xfId="0" applyFont="1" applyFill="1" applyBorder="1" applyAlignment="1">
      <alignment horizontal="center"/>
    </xf>
    <xf numFmtId="0" fontId="0" fillId="5" borderId="22" xfId="0" applyFill="1" applyBorder="1"/>
    <xf numFmtId="167" fontId="0" fillId="9" borderId="22" xfId="0" applyNumberFormat="1" applyFill="1" applyBorder="1"/>
    <xf numFmtId="167" fontId="0" fillId="9" borderId="0" xfId="0" applyNumberFormat="1" applyFill="1"/>
    <xf numFmtId="0" fontId="6" fillId="0" borderId="0" xfId="0" applyFont="1" applyAlignment="1">
      <alignment horizontal="left" vertical="center"/>
    </xf>
    <xf numFmtId="0" fontId="12" fillId="0" borderId="0" xfId="0" applyFont="1" applyAlignment="1">
      <alignment vertical="center"/>
    </xf>
    <xf numFmtId="0" fontId="12" fillId="0" borderId="0" xfId="0" applyFont="1" applyAlignment="1">
      <alignment horizontal="center" vertical="center" wrapText="1"/>
    </xf>
    <xf numFmtId="0" fontId="24" fillId="0" borderId="0" xfId="0" applyFont="1" applyAlignment="1">
      <alignment horizontal="center" vertical="center" textRotation="90" wrapText="1"/>
    </xf>
    <xf numFmtId="0" fontId="12" fillId="0" borderId="0" xfId="0" applyFont="1" applyAlignment="1">
      <alignment horizontal="center" vertical="center" textRotation="90"/>
    </xf>
    <xf numFmtId="0" fontId="12" fillId="0" borderId="0" xfId="0" applyFont="1" applyAlignment="1">
      <alignment horizontal="center" vertical="center" textRotation="90" wrapText="1"/>
    </xf>
    <xf numFmtId="2" fontId="0" fillId="3" borderId="70" xfId="0" applyNumberFormat="1" applyFill="1" applyBorder="1" applyAlignment="1">
      <alignment wrapText="1"/>
    </xf>
    <xf numFmtId="170" fontId="0" fillId="9" borderId="22" xfId="0" applyNumberFormat="1" applyFill="1" applyBorder="1" applyAlignment="1">
      <alignment wrapText="1"/>
    </xf>
    <xf numFmtId="0" fontId="0" fillId="5" borderId="71" xfId="0" applyFill="1" applyBorder="1"/>
    <xf numFmtId="0" fontId="24" fillId="0" borderId="0" xfId="0" applyFont="1" applyAlignment="1">
      <alignment horizontal="center" vertical="center" textRotation="90"/>
    </xf>
    <xf numFmtId="0" fontId="2" fillId="0" borderId="0" xfId="0" applyFont="1" applyAlignment="1">
      <alignment horizontal="center" vertical="center" textRotation="90" wrapText="1"/>
    </xf>
    <xf numFmtId="0" fontId="0" fillId="5" borderId="33" xfId="0" applyFill="1" applyBorder="1" applyAlignment="1">
      <alignment horizontal="center" wrapText="1"/>
    </xf>
    <xf numFmtId="0" fontId="0" fillId="0" borderId="0" xfId="2" applyNumberFormat="1" applyFont="1" applyFill="1" applyBorder="1"/>
    <xf numFmtId="172" fontId="0" fillId="0" borderId="0" xfId="0" applyNumberFormat="1"/>
    <xf numFmtId="175" fontId="0" fillId="0" borderId="0" xfId="0" applyNumberFormat="1"/>
    <xf numFmtId="171" fontId="0" fillId="0" borderId="0" xfId="0" applyNumberFormat="1"/>
    <xf numFmtId="0" fontId="0" fillId="4" borderId="11" xfId="0" applyFill="1" applyBorder="1"/>
    <xf numFmtId="0" fontId="0" fillId="4" borderId="62" xfId="0" applyFill="1" applyBorder="1" applyAlignment="1">
      <alignment horizontal="center"/>
    </xf>
    <xf numFmtId="0" fontId="0" fillId="4" borderId="17" xfId="0" applyFill="1" applyBorder="1"/>
    <xf numFmtId="0" fontId="0" fillId="4" borderId="27" xfId="0" applyFill="1" applyBorder="1"/>
    <xf numFmtId="183" fontId="0" fillId="4" borderId="60" xfId="2" applyNumberFormat="1" applyFont="1" applyFill="1" applyBorder="1"/>
    <xf numFmtId="0" fontId="0" fillId="4" borderId="31" xfId="2" applyNumberFormat="1" applyFont="1" applyFill="1" applyBorder="1"/>
    <xf numFmtId="0" fontId="0" fillId="4" borderId="29" xfId="2" applyNumberFormat="1" applyFont="1" applyFill="1" applyBorder="1"/>
    <xf numFmtId="0" fontId="0" fillId="4" borderId="15" xfId="2" applyNumberFormat="1" applyFont="1" applyFill="1" applyBorder="1"/>
    <xf numFmtId="0" fontId="0" fillId="4" borderId="7" xfId="2" applyNumberFormat="1" applyFont="1" applyFill="1" applyBorder="1"/>
    <xf numFmtId="0" fontId="0" fillId="4" borderId="16" xfId="2" applyNumberFormat="1" applyFont="1" applyFill="1" applyBorder="1"/>
    <xf numFmtId="0" fontId="0" fillId="5" borderId="55" xfId="0" applyFill="1" applyBorder="1"/>
    <xf numFmtId="0" fontId="0" fillId="5" borderId="57" xfId="0" applyFill="1" applyBorder="1" applyAlignment="1">
      <alignment horizontal="center" wrapText="1"/>
    </xf>
    <xf numFmtId="171" fontId="0" fillId="5" borderId="50" xfId="0" applyNumberFormat="1" applyFill="1" applyBorder="1"/>
    <xf numFmtId="171" fontId="0" fillId="5" borderId="52" xfId="0" applyNumberFormat="1" applyFill="1" applyBorder="1"/>
    <xf numFmtId="171" fontId="0" fillId="5" borderId="68" xfId="0" applyNumberFormat="1" applyFill="1" applyBorder="1"/>
    <xf numFmtId="171" fontId="0" fillId="5" borderId="35" xfId="0" applyNumberFormat="1" applyFill="1" applyBorder="1"/>
    <xf numFmtId="0" fontId="0" fillId="3" borderId="55" xfId="0" applyFill="1" applyBorder="1"/>
    <xf numFmtId="0" fontId="0" fillId="9" borderId="11" xfId="0" applyFill="1" applyBorder="1"/>
    <xf numFmtId="0" fontId="0" fillId="9" borderId="17" xfId="0" applyFill="1" applyBorder="1"/>
    <xf numFmtId="0" fontId="0" fillId="9" borderId="27" xfId="0" applyFill="1" applyBorder="1"/>
    <xf numFmtId="0" fontId="0" fillId="0" borderId="34" xfId="0" applyBorder="1" applyAlignment="1">
      <alignment horizontal="center"/>
    </xf>
    <xf numFmtId="0" fontId="0" fillId="3" borderId="54" xfId="0" applyFill="1" applyBorder="1"/>
    <xf numFmtId="0" fontId="0" fillId="4" borderId="67" xfId="0" applyFill="1" applyBorder="1" applyAlignment="1">
      <alignment horizontal="center"/>
    </xf>
    <xf numFmtId="0" fontId="0" fillId="5" borderId="67" xfId="0" applyFill="1" applyBorder="1"/>
    <xf numFmtId="2" fontId="0" fillId="3" borderId="67" xfId="0" applyNumberFormat="1" applyFill="1" applyBorder="1"/>
    <xf numFmtId="167" fontId="0" fillId="9" borderId="67" xfId="0" applyNumberFormat="1" applyFill="1" applyBorder="1"/>
    <xf numFmtId="0" fontId="0" fillId="4" borderId="63" xfId="0" applyFill="1" applyBorder="1" applyAlignment="1">
      <alignment horizontal="center"/>
    </xf>
    <xf numFmtId="0" fontId="0" fillId="4" borderId="48" xfId="0" applyFill="1" applyBorder="1" applyAlignment="1">
      <alignment horizontal="center"/>
    </xf>
    <xf numFmtId="0" fontId="0" fillId="5" borderId="65" xfId="0" applyFill="1" applyBorder="1"/>
    <xf numFmtId="0" fontId="0" fillId="0" borderId="11" xfId="0" applyBorder="1" applyAlignment="1">
      <alignment wrapText="1"/>
    </xf>
    <xf numFmtId="0" fontId="0" fillId="0" borderId="17" xfId="0" applyBorder="1" applyAlignment="1">
      <alignment wrapText="1"/>
    </xf>
    <xf numFmtId="0" fontId="0" fillId="0" borderId="17" xfId="0" applyBorder="1"/>
    <xf numFmtId="17" fontId="0" fillId="2" borderId="42" xfId="0" applyNumberFormat="1" applyFill="1" applyBorder="1"/>
    <xf numFmtId="0" fontId="0" fillId="0" borderId="27" xfId="0" applyBorder="1" applyAlignment="1">
      <alignment wrapText="1"/>
    </xf>
    <xf numFmtId="0" fontId="0" fillId="4" borderId="11" xfId="0" applyFill="1" applyBorder="1" applyAlignment="1">
      <alignment horizontal="left" vertical="center"/>
    </xf>
    <xf numFmtId="0" fontId="0" fillId="4" borderId="7" xfId="0" applyFill="1" applyBorder="1" applyAlignment="1">
      <alignment horizontal="center" wrapText="1"/>
    </xf>
    <xf numFmtId="0" fontId="0" fillId="4" borderId="30" xfId="0" applyFill="1" applyBorder="1"/>
    <xf numFmtId="172" fontId="0" fillId="0" borderId="65" xfId="0" applyNumberFormat="1" applyBorder="1"/>
    <xf numFmtId="0" fontId="0" fillId="2" borderId="11" xfId="0" applyFill="1" applyBorder="1"/>
    <xf numFmtId="175" fontId="0" fillId="2" borderId="31" xfId="0" applyNumberFormat="1" applyFill="1" applyBorder="1"/>
    <xf numFmtId="175" fontId="0" fillId="2" borderId="62" xfId="0" applyNumberFormat="1" applyFill="1" applyBorder="1"/>
    <xf numFmtId="171" fontId="0" fillId="0" borderId="67" xfId="0" applyNumberFormat="1" applyBorder="1"/>
    <xf numFmtId="0" fontId="0" fillId="4" borderId="64" xfId="0" applyFill="1" applyBorder="1" applyAlignment="1">
      <alignment horizontal="center" wrapText="1"/>
    </xf>
    <xf numFmtId="0" fontId="0" fillId="2" borderId="17" xfId="0" applyFill="1" applyBorder="1"/>
    <xf numFmtId="175" fontId="0" fillId="4" borderId="7" xfId="0" applyNumberFormat="1" applyFill="1" applyBorder="1"/>
    <xf numFmtId="175" fontId="0" fillId="4" borderId="30" xfId="0" applyNumberFormat="1" applyFill="1" applyBorder="1"/>
    <xf numFmtId="171" fontId="0" fillId="0" borderId="48" xfId="0" applyNumberFormat="1" applyBorder="1"/>
    <xf numFmtId="0" fontId="0" fillId="5" borderId="51" xfId="0" applyFill="1" applyBorder="1" applyAlignment="1">
      <alignment horizontal="center" wrapText="1"/>
    </xf>
    <xf numFmtId="171" fontId="0" fillId="5" borderId="51" xfId="0" applyNumberFormat="1" applyFill="1" applyBorder="1"/>
    <xf numFmtId="171" fontId="0" fillId="5" borderId="57" xfId="0" applyNumberFormat="1" applyFill="1" applyBorder="1"/>
    <xf numFmtId="0" fontId="0" fillId="3" borderId="32" xfId="0" applyFill="1" applyBorder="1"/>
    <xf numFmtId="0" fontId="0" fillId="9" borderId="55" xfId="0" applyFill="1" applyBorder="1"/>
    <xf numFmtId="0" fontId="0" fillId="0" borderId="68" xfId="0" applyBorder="1" applyAlignment="1">
      <alignment horizontal="center" wrapText="1"/>
    </xf>
    <xf numFmtId="0" fontId="0" fillId="4" borderId="20" xfId="0" applyFill="1" applyBorder="1"/>
    <xf numFmtId="175" fontId="0" fillId="2" borderId="24" xfId="0" applyNumberFormat="1" applyFill="1" applyBorder="1"/>
    <xf numFmtId="175" fontId="0" fillId="0" borderId="67" xfId="0" applyNumberFormat="1" applyBorder="1"/>
    <xf numFmtId="0" fontId="0" fillId="2" borderId="20" xfId="0" applyFill="1" applyBorder="1"/>
    <xf numFmtId="0" fontId="0" fillId="4" borderId="6" xfId="0" applyFill="1" applyBorder="1"/>
    <xf numFmtId="175" fontId="0" fillId="0" borderId="48" xfId="0" applyNumberFormat="1" applyBorder="1"/>
    <xf numFmtId="0" fontId="12" fillId="0" borderId="35" xfId="0" applyFont="1" applyBorder="1" applyAlignment="1">
      <alignment horizontal="center" vertical="center" wrapText="1"/>
    </xf>
    <xf numFmtId="171" fontId="0" fillId="5" borderId="56" xfId="0" applyNumberFormat="1" applyFill="1" applyBorder="1"/>
    <xf numFmtId="0" fontId="0" fillId="3" borderId="20" xfId="0" applyFill="1" applyBorder="1" applyAlignment="1">
      <alignment vertical="center"/>
    </xf>
    <xf numFmtId="0" fontId="0" fillId="9" borderId="17" xfId="0" applyFill="1" applyBorder="1" applyAlignment="1">
      <alignment horizontal="left"/>
    </xf>
    <xf numFmtId="0" fontId="0" fillId="5" borderId="11" xfId="0" applyFill="1" applyBorder="1" applyAlignment="1">
      <alignment horizontal="left" vertical="center"/>
    </xf>
    <xf numFmtId="0" fontId="0" fillId="3" borderId="17" xfId="0" applyFill="1" applyBorder="1"/>
    <xf numFmtId="0" fontId="0" fillId="5" borderId="60" xfId="0" applyFill="1" applyBorder="1"/>
    <xf numFmtId="0" fontId="0" fillId="9" borderId="13" xfId="0" applyFill="1" applyBorder="1"/>
    <xf numFmtId="0" fontId="0" fillId="9" borderId="15" xfId="0" applyFill="1" applyBorder="1"/>
    <xf numFmtId="9" fontId="0" fillId="0" borderId="9" xfId="1" applyFont="1" applyBorder="1"/>
    <xf numFmtId="0" fontId="0" fillId="4" borderId="46" xfId="0" applyFill="1" applyBorder="1" applyAlignment="1">
      <alignment vertical="top" wrapText="1"/>
    </xf>
    <xf numFmtId="6" fontId="0" fillId="4" borderId="47" xfId="0" applyNumberFormat="1" applyFill="1" applyBorder="1" applyAlignment="1">
      <alignment horizontal="center"/>
    </xf>
    <xf numFmtId="9" fontId="0" fillId="4" borderId="47" xfId="0" applyNumberFormat="1" applyFill="1" applyBorder="1"/>
    <xf numFmtId="6" fontId="0" fillId="4" borderId="47" xfId="0" applyNumberFormat="1" applyFill="1" applyBorder="1"/>
    <xf numFmtId="9" fontId="0" fillId="0" borderId="47" xfId="1" applyFont="1" applyBorder="1"/>
    <xf numFmtId="164" fontId="0" fillId="4" borderId="45" xfId="1" applyNumberFormat="1" applyFont="1" applyFill="1" applyBorder="1" applyAlignment="1">
      <alignment vertical="top" wrapText="1"/>
    </xf>
    <xf numFmtId="164" fontId="0" fillId="4" borderId="9" xfId="1" applyNumberFormat="1" applyFont="1" applyFill="1" applyBorder="1" applyAlignment="1">
      <alignment vertical="top" wrapText="1"/>
    </xf>
    <xf numFmtId="0" fontId="0" fillId="4" borderId="40" xfId="0" applyFill="1" applyBorder="1"/>
    <xf numFmtId="0" fontId="0" fillId="4" borderId="62" xfId="2" applyNumberFormat="1" applyFont="1" applyFill="1" applyBorder="1"/>
    <xf numFmtId="0" fontId="0" fillId="4" borderId="28" xfId="2" applyNumberFormat="1" applyFont="1" applyFill="1" applyBorder="1"/>
    <xf numFmtId="0" fontId="0" fillId="4" borderId="30" xfId="2" applyNumberFormat="1" applyFont="1" applyFill="1" applyBorder="1"/>
    <xf numFmtId="9" fontId="0" fillId="4" borderId="28" xfId="1" applyFont="1" applyFill="1" applyBorder="1"/>
    <xf numFmtId="171" fontId="0" fillId="4" borderId="62" xfId="0" applyNumberFormat="1" applyFill="1" applyBorder="1"/>
    <xf numFmtId="0" fontId="0" fillId="0" borderId="78" xfId="0" applyBorder="1"/>
    <xf numFmtId="166" fontId="0" fillId="0" borderId="38" xfId="2" applyNumberFormat="1" applyFont="1" applyFill="1" applyBorder="1"/>
    <xf numFmtId="166" fontId="0" fillId="0" borderId="73" xfId="2" applyNumberFormat="1" applyFont="1" applyFill="1" applyBorder="1"/>
    <xf numFmtId="166" fontId="0" fillId="0" borderId="70" xfId="2" applyNumberFormat="1" applyFont="1" applyFill="1" applyBorder="1"/>
    <xf numFmtId="0" fontId="0" fillId="3" borderId="78" xfId="0" applyFill="1" applyBorder="1"/>
    <xf numFmtId="0" fontId="0" fillId="3" borderId="26" xfId="0" applyFill="1" applyBorder="1"/>
    <xf numFmtId="0" fontId="0" fillId="4" borderId="38" xfId="0" applyFill="1" applyBorder="1" applyAlignment="1">
      <alignment horizontal="left" vertical="top" wrapText="1"/>
    </xf>
    <xf numFmtId="0" fontId="0" fillId="4" borderId="38" xfId="0" applyFill="1" applyBorder="1"/>
    <xf numFmtId="0" fontId="0" fillId="0" borderId="38" xfId="0" applyBorder="1"/>
    <xf numFmtId="169" fontId="0" fillId="0" borderId="38" xfId="0" applyNumberFormat="1" applyBorder="1"/>
    <xf numFmtId="164" fontId="0" fillId="4" borderId="38" xfId="1" applyNumberFormat="1" applyFont="1" applyFill="1" applyBorder="1" applyAlignment="1">
      <alignment vertical="top"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12" fillId="0" borderId="0" xfId="0" applyFont="1" applyAlignment="1">
      <alignment horizontal="center" vertical="center" textRotation="90" wrapText="1"/>
    </xf>
    <xf numFmtId="0" fontId="0" fillId="0" borderId="18" xfId="0" applyBorder="1" applyAlignment="1">
      <alignment wrapText="1"/>
    </xf>
    <xf numFmtId="0" fontId="0" fillId="0" borderId="8" xfId="0" applyBorder="1" applyAlignment="1">
      <alignment wrapText="1"/>
    </xf>
    <xf numFmtId="0" fontId="0" fillId="0" borderId="25" xfId="0" applyBorder="1" applyAlignment="1">
      <alignment wrapText="1"/>
    </xf>
    <xf numFmtId="0" fontId="0" fillId="0" borderId="72" xfId="0" applyBorder="1" applyAlignment="1">
      <alignment wrapText="1"/>
    </xf>
    <xf numFmtId="0" fontId="0" fillId="0" borderId="0" xfId="0" applyAlignment="1">
      <alignment wrapText="1"/>
    </xf>
    <xf numFmtId="0" fontId="0" fillId="0" borderId="22"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34" xfId="0" applyBorder="1" applyAlignment="1">
      <alignment wrapText="1"/>
    </xf>
    <xf numFmtId="0" fontId="21" fillId="0" borderId="0" xfId="0" applyFont="1" applyAlignment="1">
      <alignment horizontal="center" wrapText="1"/>
    </xf>
    <xf numFmtId="0" fontId="0" fillId="0" borderId="60" xfId="0" applyBorder="1" applyAlignment="1">
      <alignment horizontal="center" textRotation="90" wrapText="1"/>
    </xf>
    <xf numFmtId="0" fontId="0" fillId="0" borderId="13" xfId="0" applyBorder="1" applyAlignment="1">
      <alignment horizontal="center" textRotation="90" wrapText="1"/>
    </xf>
    <xf numFmtId="0" fontId="0" fillId="0" borderId="29" xfId="0" applyBorder="1" applyAlignment="1">
      <alignment horizontal="center" textRotation="90" wrapText="1"/>
    </xf>
    <xf numFmtId="0" fontId="0" fillId="0" borderId="14" xfId="0" applyBorder="1" applyAlignment="1">
      <alignment horizontal="center" textRotation="90" wrapText="1"/>
    </xf>
    <xf numFmtId="0" fontId="12" fillId="0" borderId="2" xfId="0" applyFont="1" applyBorder="1" applyAlignment="1">
      <alignment horizontal="center" vertical="center"/>
    </xf>
    <xf numFmtId="0" fontId="12" fillId="0" borderId="18" xfId="0" applyFont="1" applyBorder="1" applyAlignment="1">
      <alignment horizontal="center" vertical="center"/>
    </xf>
    <xf numFmtId="0" fontId="12" fillId="0" borderId="25" xfId="0" applyFont="1" applyBorder="1" applyAlignment="1">
      <alignment horizontal="center" vertical="center"/>
    </xf>
    <xf numFmtId="0" fontId="3" fillId="0" borderId="60" xfId="0" applyFont="1" applyBorder="1" applyAlignment="1">
      <alignment horizontal="center" vertical="center" textRotation="90"/>
    </xf>
    <xf numFmtId="0" fontId="3" fillId="0" borderId="13" xfId="0" applyFont="1" applyBorder="1" applyAlignment="1">
      <alignment horizontal="center" vertical="center" textRotation="90"/>
    </xf>
    <xf numFmtId="0" fontId="3" fillId="0" borderId="78" xfId="0" applyFont="1" applyBorder="1" applyAlignment="1">
      <alignment horizontal="center" vertical="center" textRotation="90"/>
    </xf>
    <xf numFmtId="0" fontId="3" fillId="0" borderId="15" xfId="0" applyFont="1" applyBorder="1" applyAlignment="1">
      <alignment horizontal="center" vertical="center" textRotation="90"/>
    </xf>
    <xf numFmtId="0" fontId="3" fillId="0" borderId="53" xfId="0" applyFont="1" applyBorder="1" applyAlignment="1">
      <alignment horizontal="center" vertical="center" textRotation="90"/>
    </xf>
    <xf numFmtId="0" fontId="3" fillId="0" borderId="54" xfId="0" applyFont="1" applyBorder="1" applyAlignment="1">
      <alignment horizontal="center" vertical="center" textRotation="90"/>
    </xf>
    <xf numFmtId="0" fontId="3" fillId="0" borderId="48" xfId="0" applyFont="1" applyBorder="1" applyAlignment="1">
      <alignment horizontal="center" vertical="center" textRotation="90"/>
    </xf>
    <xf numFmtId="0" fontId="0" fillId="0" borderId="31" xfId="0" applyBorder="1" applyAlignment="1">
      <alignment horizontal="center" textRotation="90" wrapText="1"/>
    </xf>
    <xf numFmtId="0" fontId="0" fillId="0" borderId="9" xfId="0" applyBorder="1" applyAlignment="1">
      <alignment horizontal="center" textRotation="90" wrapText="1"/>
    </xf>
    <xf numFmtId="0" fontId="0" fillId="0" borderId="62" xfId="0" applyBorder="1" applyAlignment="1">
      <alignment horizontal="center" textRotation="90" wrapText="1"/>
    </xf>
    <xf numFmtId="0" fontId="0" fillId="0" borderId="28" xfId="0" applyBorder="1" applyAlignment="1">
      <alignment horizontal="center" textRotation="90" wrapText="1"/>
    </xf>
    <xf numFmtId="0" fontId="0" fillId="0" borderId="67" xfId="0" applyBorder="1" applyAlignment="1">
      <alignment horizontal="center" textRotation="90" wrapText="1"/>
    </xf>
    <xf numFmtId="0" fontId="0" fillId="0" borderId="59" xfId="0" applyBorder="1" applyAlignment="1">
      <alignment horizontal="center" textRotation="90" wrapText="1"/>
    </xf>
    <xf numFmtId="0" fontId="0" fillId="0" borderId="69" xfId="0" applyBorder="1" applyAlignment="1">
      <alignment horizontal="left" vertical="top" wrapText="1"/>
    </xf>
    <xf numFmtId="0" fontId="0" fillId="0" borderId="3" xfId="0" applyBorder="1" applyAlignment="1">
      <alignment horizontal="left" vertical="top" wrapText="1"/>
    </xf>
    <xf numFmtId="0" fontId="0" fillId="0" borderId="40" xfId="0" applyBorder="1" applyAlignment="1">
      <alignment horizontal="left" vertical="top" wrapText="1"/>
    </xf>
    <xf numFmtId="0" fontId="0" fillId="0" borderId="36" xfId="0" applyBorder="1" applyAlignment="1">
      <alignment horizontal="left" vertical="top" wrapText="1"/>
    </xf>
    <xf numFmtId="0" fontId="15" fillId="8" borderId="37" xfId="0" applyFont="1" applyFill="1" applyBorder="1" applyAlignment="1">
      <alignment vertical="center" wrapText="1"/>
    </xf>
    <xf numFmtId="0" fontId="15" fillId="8" borderId="38" xfId="0" applyFont="1" applyFill="1" applyBorder="1" applyAlignment="1">
      <alignment vertical="center" wrapText="1"/>
    </xf>
    <xf numFmtId="0" fontId="17" fillId="0" borderId="50" xfId="0" applyFont="1" applyBorder="1" applyAlignment="1">
      <alignment vertical="center"/>
    </xf>
    <xf numFmtId="0" fontId="17" fillId="0" borderId="51" xfId="0" applyFont="1" applyBorder="1" applyAlignment="1">
      <alignment vertical="center"/>
    </xf>
    <xf numFmtId="0" fontId="15" fillId="8" borderId="9" xfId="0" applyFont="1" applyFill="1" applyBorder="1" applyAlignment="1">
      <alignment vertical="center" wrapText="1"/>
    </xf>
    <xf numFmtId="0" fontId="17" fillId="7" borderId="50" xfId="0" applyFont="1" applyFill="1" applyBorder="1" applyAlignment="1">
      <alignment vertical="center"/>
    </xf>
    <xf numFmtId="0" fontId="17" fillId="7" borderId="51" xfId="0" applyFont="1" applyFill="1" applyBorder="1" applyAlignment="1">
      <alignment vertical="center"/>
    </xf>
    <xf numFmtId="0" fontId="17" fillId="7" borderId="57" xfId="0" applyFont="1" applyFill="1" applyBorder="1" applyAlignment="1">
      <alignment vertical="center"/>
    </xf>
    <xf numFmtId="0" fontId="15" fillId="7" borderId="50" xfId="0" applyFont="1" applyFill="1" applyBorder="1" applyAlignment="1">
      <alignment vertical="center"/>
    </xf>
    <xf numFmtId="0" fontId="15" fillId="7" borderId="51" xfId="0" applyFont="1" applyFill="1" applyBorder="1" applyAlignment="1">
      <alignment vertical="center"/>
    </xf>
    <xf numFmtId="0" fontId="15" fillId="8" borderId="36" xfId="0" applyFont="1" applyFill="1" applyBorder="1" applyAlignment="1">
      <alignment vertical="center" wrapText="1"/>
    </xf>
    <xf numFmtId="0" fontId="15" fillId="8" borderId="39" xfId="0" applyFont="1" applyFill="1" applyBorder="1" applyAlignment="1">
      <alignment vertical="center" wrapText="1"/>
    </xf>
    <xf numFmtId="0" fontId="17" fillId="7" borderId="50" xfId="0" applyFont="1" applyFill="1" applyBorder="1" applyAlignment="1">
      <alignment horizontal="left" vertical="center"/>
    </xf>
    <xf numFmtId="0" fontId="17" fillId="7" borderId="51" xfId="0" applyFont="1" applyFill="1" applyBorder="1" applyAlignment="1">
      <alignment horizontal="left" vertical="center"/>
    </xf>
    <xf numFmtId="0" fontId="17" fillId="7" borderId="57" xfId="0" applyFont="1" applyFill="1" applyBorder="1" applyAlignment="1">
      <alignment horizontal="left" vertical="center"/>
    </xf>
    <xf numFmtId="0" fontId="17" fillId="7" borderId="55" xfId="0" applyFont="1" applyFill="1" applyBorder="1" applyAlignment="1">
      <alignment horizontal="left" vertical="center"/>
    </xf>
    <xf numFmtId="0" fontId="17" fillId="7" borderId="56" xfId="0" applyFont="1" applyFill="1" applyBorder="1" applyAlignment="1">
      <alignment horizontal="left" vertical="center"/>
    </xf>
    <xf numFmtId="0" fontId="6" fillId="0" borderId="53" xfId="0" applyFont="1" applyBorder="1" applyAlignment="1">
      <alignment horizontal="center" vertical="center" textRotation="90"/>
    </xf>
    <xf numFmtId="0" fontId="6" fillId="0" borderId="54" xfId="0" applyFont="1" applyBorder="1" applyAlignment="1">
      <alignment horizontal="center" vertical="center" textRotation="90"/>
    </xf>
    <xf numFmtId="0" fontId="6" fillId="0" borderId="48" xfId="0" applyFont="1" applyBorder="1" applyAlignment="1">
      <alignment horizontal="center" vertical="center" textRotation="90"/>
    </xf>
    <xf numFmtId="0" fontId="17" fillId="7" borderId="52" xfId="0" applyFont="1" applyFill="1" applyBorder="1" applyAlignment="1">
      <alignment horizontal="left" vertical="center"/>
    </xf>
    <xf numFmtId="0" fontId="12" fillId="0" borderId="20" xfId="0" applyFont="1" applyBorder="1" applyAlignment="1">
      <alignment horizontal="center" vertical="center" textRotation="90"/>
    </xf>
    <xf numFmtId="0" fontId="12" fillId="0" borderId="13" xfId="0" applyFont="1" applyBorder="1" applyAlignment="1">
      <alignment horizontal="center" vertical="center" textRotation="90"/>
    </xf>
    <xf numFmtId="0" fontId="12" fillId="0" borderId="27" xfId="0" applyFont="1" applyBorder="1" applyAlignment="1">
      <alignment horizontal="center" vertical="center" textRotation="90"/>
    </xf>
    <xf numFmtId="0" fontId="12" fillId="0" borderId="11" xfId="0" applyFont="1" applyBorder="1" applyAlignment="1">
      <alignment horizontal="center" vertical="center" textRotation="90" wrapText="1"/>
    </xf>
    <xf numFmtId="0" fontId="12" fillId="0" borderId="13" xfId="0" applyFont="1" applyBorder="1" applyAlignment="1">
      <alignment horizontal="center" vertical="center" textRotation="90" wrapText="1"/>
    </xf>
    <xf numFmtId="0" fontId="12" fillId="0" borderId="27" xfId="0" applyFont="1" applyBorder="1" applyAlignment="1">
      <alignment horizontal="center" vertical="center" textRotation="90" wrapText="1"/>
    </xf>
    <xf numFmtId="0" fontId="12" fillId="0" borderId="18" xfId="0" applyFont="1" applyBorder="1" applyAlignment="1">
      <alignment horizontal="center" vertical="center" textRotation="90"/>
    </xf>
    <xf numFmtId="0" fontId="12" fillId="0" borderId="54" xfId="0" applyFont="1" applyBorder="1" applyAlignment="1">
      <alignment horizontal="center" vertical="center" textRotation="90"/>
    </xf>
    <xf numFmtId="0" fontId="12" fillId="0" borderId="48" xfId="0" applyFont="1" applyBorder="1" applyAlignment="1">
      <alignment horizontal="center" vertical="center" textRotation="90"/>
    </xf>
    <xf numFmtId="0" fontId="6" fillId="0" borderId="20" xfId="0" applyFont="1" applyBorder="1" applyAlignment="1">
      <alignment horizontal="center" vertical="center" textRotation="90"/>
    </xf>
    <xf numFmtId="0" fontId="6" fillId="0" borderId="17" xfId="0" applyFont="1" applyBorder="1" applyAlignment="1">
      <alignment horizontal="center" vertical="center" textRotation="90"/>
    </xf>
    <xf numFmtId="0" fontId="6" fillId="0" borderId="13" xfId="0" applyFont="1" applyBorder="1" applyAlignment="1">
      <alignment horizontal="center" vertical="center" textRotation="90"/>
    </xf>
    <xf numFmtId="0" fontId="6" fillId="0" borderId="27" xfId="0" applyFont="1" applyBorder="1" applyAlignment="1">
      <alignment horizontal="center" vertical="center" textRotation="90"/>
    </xf>
    <xf numFmtId="0" fontId="15" fillId="8" borderId="10" xfId="0" applyFont="1" applyFill="1" applyBorder="1" applyAlignment="1">
      <alignment vertical="center" wrapText="1"/>
    </xf>
    <xf numFmtId="0" fontId="15" fillId="7" borderId="46" xfId="0" applyFont="1" applyFill="1" applyBorder="1" applyAlignment="1">
      <alignment vertical="center"/>
    </xf>
    <xf numFmtId="0" fontId="15" fillId="7" borderId="47" xfId="0" applyFont="1" applyFill="1" applyBorder="1" applyAlignment="1">
      <alignment vertical="center"/>
    </xf>
    <xf numFmtId="0" fontId="0" fillId="0" borderId="0" xfId="0" applyAlignment="1">
      <alignment vertical="top" wrapText="1"/>
    </xf>
    <xf numFmtId="0" fontId="0" fillId="0" borderId="0" xfId="0" applyAlignment="1">
      <alignment horizontal="left" vertical="top" wrapText="1"/>
    </xf>
    <xf numFmtId="0" fontId="8" fillId="0" borderId="0" xfId="3" applyAlignment="1">
      <alignment vertical="top" wrapText="1"/>
    </xf>
    <xf numFmtId="0" fontId="8" fillId="0" borderId="0" xfId="3" applyAlignment="1">
      <alignment horizontal="left" vertical="top" wrapText="1"/>
    </xf>
    <xf numFmtId="0" fontId="25" fillId="0" borderId="79" xfId="9" applyBorder="1" applyAlignment="1">
      <alignment horizontal="left" wrapText="1"/>
    </xf>
    <xf numFmtId="0" fontId="30" fillId="0" borderId="79" xfId="9" applyFont="1" applyBorder="1" applyAlignment="1">
      <alignment horizontal="left" vertical="top" wrapText="1" indent="1"/>
    </xf>
    <xf numFmtId="0" fontId="25" fillId="12" borderId="79" xfId="9" applyFill="1" applyBorder="1" applyAlignment="1">
      <alignment horizontal="left" vertical="top" wrapText="1" indent="1"/>
    </xf>
    <xf numFmtId="0" fontId="30" fillId="0" borderId="79" xfId="9" applyFont="1" applyBorder="1" applyAlignment="1">
      <alignment horizontal="left" vertical="top" wrapText="1" indent="3"/>
    </xf>
    <xf numFmtId="0" fontId="30" fillId="12" borderId="79" xfId="9" applyFont="1" applyFill="1" applyBorder="1" applyAlignment="1">
      <alignment horizontal="left" vertical="top" wrapText="1" indent="1"/>
    </xf>
    <xf numFmtId="0" fontId="35" fillId="0" borderId="0" xfId="9" applyFont="1" applyAlignment="1">
      <alignment horizontal="left" vertical="top" wrapText="1"/>
    </xf>
    <xf numFmtId="0" fontId="25" fillId="0" borderId="0" xfId="9" applyAlignment="1">
      <alignment horizontal="left" vertical="top" wrapText="1"/>
    </xf>
    <xf numFmtId="0" fontId="36" fillId="0" borderId="0" xfId="9" applyFont="1" applyAlignment="1">
      <alignment horizontal="left" wrapText="1"/>
    </xf>
    <xf numFmtId="0" fontId="25" fillId="0" borderId="0" xfId="9" applyAlignment="1">
      <alignment horizontal="left" wrapText="1"/>
    </xf>
    <xf numFmtId="0" fontId="27" fillId="0" borderId="0" xfId="9" applyFont="1" applyAlignment="1">
      <alignment horizontal="left" wrapText="1"/>
    </xf>
  </cellXfs>
  <cellStyles count="11">
    <cellStyle name="Comma" xfId="2" builtinId="3"/>
    <cellStyle name="Comma 2" xfId="10" xr:uid="{A0964158-BC7D-43EA-85E2-42EFB6D85D80}"/>
    <cellStyle name="Hyperlink" xfId="3" builtinId="8"/>
    <cellStyle name="Hyperlink 2" xfId="8" xr:uid="{6F2CFDB4-5C2E-46B0-9009-5672663CE0CD}"/>
    <cellStyle name="Normal" xfId="0" builtinId="0"/>
    <cellStyle name="Normal 2" xfId="4" xr:uid="{BDF85F66-4666-4681-B042-819236D19C40}"/>
    <cellStyle name="Normal 3" xfId="5" xr:uid="{56537832-E7A6-4DF2-BF4D-BCD3C62FFDFF}"/>
    <cellStyle name="Normal 4" xfId="7" xr:uid="{C7695289-D158-4659-BC3B-52832E367F88}"/>
    <cellStyle name="Normal 5" xfId="9" xr:uid="{9CC98853-8B05-4A6D-9A82-232C0144643C}"/>
    <cellStyle name="Per cent" xfId="1" builtinId="5"/>
    <cellStyle name="Percent 2" xfId="6" xr:uid="{EA05216D-9988-4DE4-AE81-5E2788AA2A41}"/>
  </cellStyles>
  <dxfs count="17">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AU"/>
              <a:t>2. Sources</a:t>
            </a:r>
            <a:r>
              <a:rPr lang="en-AU" baseline="0"/>
              <a:t> of</a:t>
            </a:r>
            <a:r>
              <a:rPr lang="en-AU"/>
              <a:t> Funds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685-40E5-B1D4-E1828E3E309F}"/>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685-40E5-B1D4-E1828E3E309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685-40E5-B1D4-E1828E3E309F}"/>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9685-40E5-B1D4-E1828E3E309F}"/>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9685-40E5-B1D4-E1828E3E309F}"/>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9685-40E5-B1D4-E1828E3E309F}"/>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9685-40E5-B1D4-E1828E3E309F}"/>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9685-40E5-B1D4-E1828E3E309F}"/>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802C-44CA-B967-B74B70DB5EA0}"/>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AD7-4E25-9EF6-1512A9729A57}"/>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Funding!$A$7:$A$16</c:f>
              <c:strCache>
                <c:ptCount val="10"/>
                <c:pt idx="0">
                  <c:v>CEFF request</c:v>
                </c:pt>
                <c:pt idx="1">
                  <c:v>Other WA Government grants</c:v>
                </c:pt>
                <c:pt idx="2">
                  <c:v>Other grants</c:v>
                </c:pt>
                <c:pt idx="3">
                  <c:v>In-kind value</c:v>
                </c:pt>
                <c:pt idx="4">
                  <c:v>Equity from applicants</c:v>
                </c:pt>
                <c:pt idx="5">
                  <c:v>Equity from others</c:v>
                </c:pt>
                <c:pt idx="6">
                  <c:v>Debt</c:v>
                </c:pt>
                <c:pt idx="7">
                  <c:v>Other (Describe)</c:v>
                </c:pt>
                <c:pt idx="8">
                  <c:v>Maximum Funding Buffer Available</c:v>
                </c:pt>
                <c:pt idx="9">
                  <c:v>From Funding Buffer</c:v>
                </c:pt>
              </c:strCache>
            </c:strRef>
          </c:cat>
          <c:val>
            <c:numRef>
              <c:f>Funding!$B$7:$B$16</c:f>
              <c:numCache>
                <c:formatCode>"$"#,##0_);[Red]\("$"#,##0\)</c:formatCode>
                <c:ptCount val="10"/>
                <c:pt idx="0">
                  <c:v>3500000</c:v>
                </c:pt>
                <c:pt idx="1">
                  <c:v>500000</c:v>
                </c:pt>
                <c:pt idx="2">
                  <c:v>2000000</c:v>
                </c:pt>
                <c:pt idx="3">
                  <c:v>0</c:v>
                </c:pt>
                <c:pt idx="4">
                  <c:v>2000000</c:v>
                </c:pt>
                <c:pt idx="5">
                  <c:v>3000000</c:v>
                </c:pt>
                <c:pt idx="6">
                  <c:v>14284600</c:v>
                </c:pt>
                <c:pt idx="8">
                  <c:v>6000000</c:v>
                </c:pt>
                <c:pt idx="9">
                  <c:v>5974900</c:v>
                </c:pt>
              </c:numCache>
            </c:numRef>
          </c:val>
          <c:extLst>
            <c:ext xmlns:c16="http://schemas.microsoft.com/office/drawing/2014/chart" uri="{C3380CC4-5D6E-409C-BE32-E72D297353CC}">
              <c16:uniqueId val="{00000014-9685-40E5-B1D4-E1828E3E309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r>
              <a:rPr lang="en-AU" sz="1600"/>
              <a:t>1. Uses of Funds</a:t>
            </a:r>
          </a:p>
          <a:p>
            <a:pPr>
              <a:defRPr sz="1600"/>
            </a:pPr>
            <a:endParaRPr lang="en-AU" sz="16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2318-4515-A7EB-6AF7F6AD14F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2318-4515-A7EB-6AF7F6AD14FE}"/>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2318-4515-A7EB-6AF7F6AD14FE}"/>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2318-4515-A7EB-6AF7F6AD14FE}"/>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2318-4515-A7EB-6AF7F6AD14FE}"/>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2318-4515-A7EB-6AF7F6AD14FE}"/>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2318-4515-A7EB-6AF7F6AD14FE}"/>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2318-4515-A7EB-6AF7F6AD14FE}"/>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2318-4515-A7EB-6AF7F6AD14FE}"/>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D136-4853-80F9-A3CBBB6082FF}"/>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5-68E9-458B-B153-E4D944812F92}"/>
              </c:ext>
            </c:extLst>
          </c:dPt>
          <c:dPt>
            <c:idx val="11"/>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68E9-458B-B153-E4D944812F92}"/>
              </c:ext>
            </c:extLst>
          </c:dPt>
          <c:dPt>
            <c:idx val="12"/>
            <c:bubble3D val="0"/>
            <c:spPr>
              <a:solidFill>
                <a:schemeClr val="accent1">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9-68E9-458B-B153-E4D944812F92}"/>
              </c:ext>
            </c:extLst>
          </c:dPt>
          <c:dPt>
            <c:idx val="13"/>
            <c:bubble3D val="0"/>
            <c:spPr>
              <a:solidFill>
                <a:schemeClr val="accent2">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68E9-458B-B153-E4D944812F92}"/>
              </c:ext>
            </c:extLst>
          </c:dPt>
          <c:dPt>
            <c:idx val="14"/>
            <c:bubble3D val="0"/>
            <c:spPr>
              <a:solidFill>
                <a:schemeClr val="accent3">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68E9-458B-B153-E4D944812F92}"/>
              </c:ext>
            </c:extLst>
          </c:dPt>
          <c:dPt>
            <c:idx val="15"/>
            <c:bubble3D val="0"/>
            <c:spPr>
              <a:solidFill>
                <a:schemeClr val="accent4">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68E9-458B-B153-E4D944812F92}"/>
              </c:ext>
            </c:extLst>
          </c:dPt>
          <c:dPt>
            <c:idx val="16"/>
            <c:bubble3D val="0"/>
            <c:spPr>
              <a:solidFill>
                <a:schemeClr val="accent5">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1-68E9-458B-B153-E4D944812F92}"/>
              </c:ext>
            </c:extLst>
          </c:dPt>
          <c:dPt>
            <c:idx val="17"/>
            <c:bubble3D val="0"/>
            <c:spPr>
              <a:solidFill>
                <a:schemeClr val="accent6">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3-68E9-458B-B153-E4D944812F92}"/>
              </c:ext>
            </c:extLst>
          </c:dPt>
          <c:dPt>
            <c:idx val="18"/>
            <c:bubble3D val="0"/>
            <c:spPr>
              <a:solidFill>
                <a:schemeClr val="accent1">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5-68E9-458B-B153-E4D944812F92}"/>
              </c:ext>
            </c:extLst>
          </c:dPt>
          <c:dPt>
            <c:idx val="19"/>
            <c:bubble3D val="0"/>
            <c:spPr>
              <a:solidFill>
                <a:schemeClr val="accent2">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7-68E9-458B-B153-E4D944812F92}"/>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'Project Model'!$E$2:$X$2</c:f>
              <c:strCache>
                <c:ptCount val="20"/>
                <c:pt idx="0">
                  <c:v>Not tied to a module</c:v>
                </c:pt>
                <c:pt idx="1">
                  <c:v>FEED and approvals</c:v>
                </c:pt>
                <c:pt idx="2">
                  <c:v>Solar North SAT</c:v>
                </c:pt>
                <c:pt idx="3">
                  <c:v>Solar East/West</c:v>
                </c:pt>
                <c:pt idx="4">
                  <c:v>Wind farm</c:v>
                </c:pt>
                <c:pt idx="5">
                  <c:v>Biogas generator</c:v>
                </c:pt>
                <c:pt idx="6">
                  <c:v>Battery system</c:v>
                </c:pt>
                <c:pt idx="7">
                  <c:v>Battery Refresh</c:v>
                </c:pt>
                <c:pt idx="8">
                  <c:v>Inverter refresh</c:v>
                </c:pt>
                <c:pt idx="9">
                  <c:v>Unused module</c:v>
                </c:pt>
                <c:pt idx="10">
                  <c:v>Unused module</c:v>
                </c:pt>
                <c:pt idx="11">
                  <c:v>Unused module</c:v>
                </c:pt>
                <c:pt idx="12">
                  <c:v>Unused module</c:v>
                </c:pt>
                <c:pt idx="13">
                  <c:v>Unused module</c:v>
                </c:pt>
                <c:pt idx="14">
                  <c:v>Unused module</c:v>
                </c:pt>
                <c:pt idx="15">
                  <c:v>Unused module</c:v>
                </c:pt>
                <c:pt idx="16">
                  <c:v>Unused module</c:v>
                </c:pt>
                <c:pt idx="17">
                  <c:v>Unused module</c:v>
                </c:pt>
                <c:pt idx="18">
                  <c:v>Unused module</c:v>
                </c:pt>
                <c:pt idx="19">
                  <c:v>Unused module</c:v>
                </c:pt>
              </c:strCache>
            </c:strRef>
          </c:cat>
          <c:val>
            <c:numRef>
              <c:f>'Project Model'!$E$36:$X$36</c:f>
              <c:numCache>
                <c:formatCode>"$"#,##0;[Red]\-"$"#,##0;;</c:formatCode>
                <c:ptCount val="20"/>
                <c:pt idx="0">
                  <c:v>143000</c:v>
                </c:pt>
                <c:pt idx="1">
                  <c:v>110000</c:v>
                </c:pt>
                <c:pt idx="2">
                  <c:v>3267000</c:v>
                </c:pt>
                <c:pt idx="3">
                  <c:v>3201000</c:v>
                </c:pt>
                <c:pt idx="4">
                  <c:v>6077500</c:v>
                </c:pt>
                <c:pt idx="5">
                  <c:v>1210000</c:v>
                </c:pt>
                <c:pt idx="6">
                  <c:v>7050000</c:v>
                </c:pt>
                <c:pt idx="7">
                  <c:v>10000000</c:v>
                </c:pt>
                <c:pt idx="8">
                  <c:v>201000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16-2318-4515-A7EB-6AF7F6AD14F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US" sz="1600" b="1"/>
              <a:t>12. Simple Payback by Year</a:t>
            </a: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Without CEFF</c:v>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Cashflow!$M$78:$BM$78</c:f>
              <c:numCache>
                <c:formatCode>"$"#,##0;[Red]\-"$"#,##0;;</c:formatCode>
                <c:ptCount val="53"/>
                <c:pt idx="0">
                  <c:v>-19558637.666666668</c:v>
                </c:pt>
                <c:pt idx="1">
                  <c:v>-19055912.128264725</c:v>
                </c:pt>
                <c:pt idx="2">
                  <c:v>-16588409.206136888</c:v>
                </c:pt>
                <c:pt idx="3">
                  <c:v>-14149206.751154153</c:v>
                </c:pt>
                <c:pt idx="4">
                  <c:v>-11737952.358586136</c:v>
                </c:pt>
                <c:pt idx="5">
                  <c:v>-9344298.4643952772</c:v>
                </c:pt>
                <c:pt idx="6">
                  <c:v>-6987902.2733091954</c:v>
                </c:pt>
                <c:pt idx="7">
                  <c:v>-4658425.6880339067</c:v>
                </c:pt>
                <c:pt idx="8">
                  <c:v>-2355535.2395887999</c:v>
                </c:pt>
                <c:pt idx="9">
                  <c:v>-83902.018744640984</c:v>
                </c:pt>
                <c:pt idx="10">
                  <c:v>1965798.3914538119</c:v>
                </c:pt>
                <c:pt idx="11">
                  <c:v>-5993008.6164423795</c:v>
                </c:pt>
                <c:pt idx="12">
                  <c:v>-3731924.6948610609</c:v>
                </c:pt>
                <c:pt idx="13">
                  <c:v>-1496990.9633058161</c:v>
                </c:pt>
                <c:pt idx="14">
                  <c:v>712121.79757987708</c:v>
                </c:pt>
                <c:pt idx="15">
                  <c:v>2895738.2164680152</c:v>
                </c:pt>
                <c:pt idx="16">
                  <c:v>5054178.4006662592</c:v>
                </c:pt>
                <c:pt idx="17">
                  <c:v>6439156.6210903805</c:v>
                </c:pt>
                <c:pt idx="18">
                  <c:v>7807652.5417717313</c:v>
                </c:pt>
                <c:pt idx="19">
                  <c:v>9159886.1797444988</c:v>
                </c:pt>
                <c:pt idx="20">
                  <c:v>11759020.037732402</c:v>
                </c:pt>
                <c:pt idx="21">
                  <c:v>11846955.013047874</c:v>
                </c:pt>
                <c:pt idx="22">
                  <c:v>11883974.611588938</c:v>
                </c:pt>
                <c:pt idx="23">
                  <c:v>11915940.885427339</c:v>
                </c:pt>
                <c:pt idx="24">
                  <c:v>11942949.827830831</c:v>
                </c:pt>
                <c:pt idx="25">
                  <c:v>11965095.608573133</c:v>
                </c:pt>
                <c:pt idx="26">
                  <c:v>11793345.608573133</c:v>
                </c:pt>
                <c:pt idx="27">
                  <c:v>11793345.608573133</c:v>
                </c:pt>
                <c:pt idx="28">
                  <c:v>11793345.608573133</c:v>
                </c:pt>
                <c:pt idx="29">
                  <c:v>11793345.608573133</c:v>
                </c:pt>
                <c:pt idx="30">
                  <c:v>11793345.608573133</c:v>
                </c:pt>
                <c:pt idx="31">
                  <c:v>11793345.608573133</c:v>
                </c:pt>
                <c:pt idx="32">
                  <c:v>11793345.608573133</c:v>
                </c:pt>
                <c:pt idx="33">
                  <c:v>11793345.608573133</c:v>
                </c:pt>
                <c:pt idx="34">
                  <c:v>11793345.608573133</c:v>
                </c:pt>
                <c:pt idx="35">
                  <c:v>11793345.608573133</c:v>
                </c:pt>
                <c:pt idx="36">
                  <c:v>11793345.608573133</c:v>
                </c:pt>
                <c:pt idx="37">
                  <c:v>11793345.608573133</c:v>
                </c:pt>
                <c:pt idx="38">
                  <c:v>11793345.608573133</c:v>
                </c:pt>
                <c:pt idx="39">
                  <c:v>11793345.608573133</c:v>
                </c:pt>
                <c:pt idx="40">
                  <c:v>11793345.608573133</c:v>
                </c:pt>
                <c:pt idx="41">
                  <c:v>11793345.608573133</c:v>
                </c:pt>
                <c:pt idx="42">
                  <c:v>11793345.608573133</c:v>
                </c:pt>
                <c:pt idx="43">
                  <c:v>11793345.608573133</c:v>
                </c:pt>
                <c:pt idx="44">
                  <c:v>11793345.608573133</c:v>
                </c:pt>
                <c:pt idx="45">
                  <c:v>11793345.608573133</c:v>
                </c:pt>
                <c:pt idx="46">
                  <c:v>11793345.608573133</c:v>
                </c:pt>
                <c:pt idx="47">
                  <c:v>11793345.608573133</c:v>
                </c:pt>
                <c:pt idx="48">
                  <c:v>11793345.608573133</c:v>
                </c:pt>
                <c:pt idx="49">
                  <c:v>11793345.608573133</c:v>
                </c:pt>
                <c:pt idx="50">
                  <c:v>11793345.608573133</c:v>
                </c:pt>
                <c:pt idx="51">
                  <c:v>11793345.608573133</c:v>
                </c:pt>
                <c:pt idx="52">
                  <c:v>11793345.608573133</c:v>
                </c:pt>
              </c:numCache>
            </c:numRef>
          </c:val>
          <c:smooth val="0"/>
          <c:extLst>
            <c:ext xmlns:c16="http://schemas.microsoft.com/office/drawing/2014/chart" uri="{C3380CC4-5D6E-409C-BE32-E72D297353CC}">
              <c16:uniqueId val="{00000000-D00D-47A0-87F5-6C7BF7D9846A}"/>
            </c:ext>
          </c:extLst>
        </c:ser>
        <c:ser>
          <c:idx val="1"/>
          <c:order val="1"/>
          <c:tx>
            <c:v>With CEFF</c:v>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Cashflow!$M$2:$BM$2</c:f>
              <c:numCache>
                <c:formatCode>[$-C09]dd\-mmm\-yy;@</c:formatCode>
                <c:ptCount val="53"/>
                <c:pt idx="0">
                  <c:v>46568</c:v>
                </c:pt>
                <c:pt idx="1">
                  <c:v>46934</c:v>
                </c:pt>
                <c:pt idx="2">
                  <c:v>47299</c:v>
                </c:pt>
                <c:pt idx="3">
                  <c:v>47664</c:v>
                </c:pt>
                <c:pt idx="4">
                  <c:v>48029</c:v>
                </c:pt>
                <c:pt idx="5">
                  <c:v>48395</c:v>
                </c:pt>
                <c:pt idx="6">
                  <c:v>48760</c:v>
                </c:pt>
                <c:pt idx="7">
                  <c:v>49125</c:v>
                </c:pt>
                <c:pt idx="8">
                  <c:v>49490</c:v>
                </c:pt>
                <c:pt idx="9">
                  <c:v>49856</c:v>
                </c:pt>
                <c:pt idx="10">
                  <c:v>50221</c:v>
                </c:pt>
                <c:pt idx="11">
                  <c:v>50586</c:v>
                </c:pt>
                <c:pt idx="12">
                  <c:v>50951</c:v>
                </c:pt>
                <c:pt idx="13">
                  <c:v>51317</c:v>
                </c:pt>
                <c:pt idx="14">
                  <c:v>51682</c:v>
                </c:pt>
                <c:pt idx="15">
                  <c:v>52047</c:v>
                </c:pt>
                <c:pt idx="16">
                  <c:v>52412</c:v>
                </c:pt>
                <c:pt idx="17">
                  <c:v>52778</c:v>
                </c:pt>
                <c:pt idx="18">
                  <c:v>53143</c:v>
                </c:pt>
                <c:pt idx="19">
                  <c:v>53508</c:v>
                </c:pt>
                <c:pt idx="20">
                  <c:v>53873</c:v>
                </c:pt>
                <c:pt idx="21">
                  <c:v>54239</c:v>
                </c:pt>
                <c:pt idx="22">
                  <c:v>54604</c:v>
                </c:pt>
                <c:pt idx="23">
                  <c:v>54969</c:v>
                </c:pt>
                <c:pt idx="24">
                  <c:v>55334</c:v>
                </c:pt>
                <c:pt idx="25">
                  <c:v>55700</c:v>
                </c:pt>
                <c:pt idx="26">
                  <c:v>56065</c:v>
                </c:pt>
                <c:pt idx="27">
                  <c:v>56430</c:v>
                </c:pt>
                <c:pt idx="28">
                  <c:v>56795</c:v>
                </c:pt>
                <c:pt idx="29">
                  <c:v>57161</c:v>
                </c:pt>
                <c:pt idx="30">
                  <c:v>57526</c:v>
                </c:pt>
                <c:pt idx="31">
                  <c:v>57891</c:v>
                </c:pt>
                <c:pt idx="32">
                  <c:v>58256</c:v>
                </c:pt>
                <c:pt idx="33">
                  <c:v>58622</c:v>
                </c:pt>
                <c:pt idx="34">
                  <c:v>58987</c:v>
                </c:pt>
                <c:pt idx="35">
                  <c:v>59352</c:v>
                </c:pt>
                <c:pt idx="36">
                  <c:v>59717</c:v>
                </c:pt>
                <c:pt idx="37">
                  <c:v>60083</c:v>
                </c:pt>
                <c:pt idx="38">
                  <c:v>60448</c:v>
                </c:pt>
                <c:pt idx="39">
                  <c:v>60813</c:v>
                </c:pt>
                <c:pt idx="40">
                  <c:v>61178</c:v>
                </c:pt>
                <c:pt idx="41">
                  <c:v>61544</c:v>
                </c:pt>
                <c:pt idx="42">
                  <c:v>61909</c:v>
                </c:pt>
                <c:pt idx="43">
                  <c:v>62274</c:v>
                </c:pt>
                <c:pt idx="44">
                  <c:v>62639</c:v>
                </c:pt>
                <c:pt idx="45">
                  <c:v>63005</c:v>
                </c:pt>
                <c:pt idx="46">
                  <c:v>63370</c:v>
                </c:pt>
                <c:pt idx="47">
                  <c:v>63735</c:v>
                </c:pt>
                <c:pt idx="48">
                  <c:v>64100</c:v>
                </c:pt>
                <c:pt idx="49">
                  <c:v>64466</c:v>
                </c:pt>
                <c:pt idx="50">
                  <c:v>64831</c:v>
                </c:pt>
                <c:pt idx="51">
                  <c:v>65196</c:v>
                </c:pt>
                <c:pt idx="52">
                  <c:v>65561</c:v>
                </c:pt>
              </c:numCache>
            </c:numRef>
          </c:cat>
          <c:val>
            <c:numRef>
              <c:f>Cashflow!$M$79:$BM$79</c:f>
              <c:numCache>
                <c:formatCode>"$"#,##0;[Red]\-"$"#,##0;;</c:formatCode>
                <c:ptCount val="53"/>
                <c:pt idx="0">
                  <c:v>-16259158.499999998</c:v>
                </c:pt>
                <c:pt idx="1">
                  <c:v>-15555912.12826472</c:v>
                </c:pt>
                <c:pt idx="2">
                  <c:v>-13088409.206136882</c:v>
                </c:pt>
                <c:pt idx="3">
                  <c:v>-10649206.751154147</c:v>
                </c:pt>
                <c:pt idx="4">
                  <c:v>-8237952.3585861307</c:v>
                </c:pt>
                <c:pt idx="5">
                  <c:v>-5844298.4643952707</c:v>
                </c:pt>
                <c:pt idx="6">
                  <c:v>-3487902.2733091889</c:v>
                </c:pt>
                <c:pt idx="7">
                  <c:v>-1158425.6880339007</c:v>
                </c:pt>
                <c:pt idx="8">
                  <c:v>1144464.7604112062</c:v>
                </c:pt>
                <c:pt idx="9">
                  <c:v>3416097.9812553651</c:v>
                </c:pt>
                <c:pt idx="10">
                  <c:v>5465798.3914538175</c:v>
                </c:pt>
                <c:pt idx="11">
                  <c:v>-2493008.616442374</c:v>
                </c:pt>
                <c:pt idx="12">
                  <c:v>-231924.69486105535</c:v>
                </c:pt>
                <c:pt idx="13">
                  <c:v>2003009.0366941895</c:v>
                </c:pt>
                <c:pt idx="14">
                  <c:v>4212121.7975798827</c:v>
                </c:pt>
                <c:pt idx="15">
                  <c:v>6395738.2164680213</c:v>
                </c:pt>
                <c:pt idx="16">
                  <c:v>8554178.4006662648</c:v>
                </c:pt>
                <c:pt idx="17">
                  <c:v>9939156.6210903861</c:v>
                </c:pt>
                <c:pt idx="18">
                  <c:v>11307652.541771736</c:v>
                </c:pt>
                <c:pt idx="19">
                  <c:v>12659886.179744503</c:v>
                </c:pt>
                <c:pt idx="20">
                  <c:v>15259020.037732406</c:v>
                </c:pt>
                <c:pt idx="21">
                  <c:v>15346955.013047878</c:v>
                </c:pt>
                <c:pt idx="22">
                  <c:v>15383974.611588942</c:v>
                </c:pt>
                <c:pt idx="23">
                  <c:v>15415940.885427343</c:v>
                </c:pt>
                <c:pt idx="24">
                  <c:v>15442949.827830834</c:v>
                </c:pt>
                <c:pt idx="25">
                  <c:v>15465095.608573137</c:v>
                </c:pt>
                <c:pt idx="26">
                  <c:v>15293345.608573137</c:v>
                </c:pt>
                <c:pt idx="27">
                  <c:v>15293345.608573137</c:v>
                </c:pt>
                <c:pt idx="28">
                  <c:v>15293345.608573137</c:v>
                </c:pt>
                <c:pt idx="29">
                  <c:v>15293345.608573137</c:v>
                </c:pt>
                <c:pt idx="30">
                  <c:v>15293345.608573137</c:v>
                </c:pt>
                <c:pt idx="31">
                  <c:v>15293345.608573137</c:v>
                </c:pt>
                <c:pt idx="32">
                  <c:v>15293345.608573137</c:v>
                </c:pt>
                <c:pt idx="33">
                  <c:v>15293345.608573137</c:v>
                </c:pt>
                <c:pt idx="34">
                  <c:v>15293345.608573137</c:v>
                </c:pt>
                <c:pt idx="35">
                  <c:v>15293345.608573137</c:v>
                </c:pt>
                <c:pt idx="36">
                  <c:v>15293345.608573137</c:v>
                </c:pt>
                <c:pt idx="37">
                  <c:v>15293345.608573137</c:v>
                </c:pt>
                <c:pt idx="38">
                  <c:v>15293345.608573137</c:v>
                </c:pt>
                <c:pt idx="39">
                  <c:v>15293345.608573137</c:v>
                </c:pt>
                <c:pt idx="40">
                  <c:v>15293345.608573137</c:v>
                </c:pt>
                <c:pt idx="41">
                  <c:v>15293345.608573137</c:v>
                </c:pt>
                <c:pt idx="42">
                  <c:v>15293345.608573137</c:v>
                </c:pt>
                <c:pt idx="43">
                  <c:v>15293345.608573137</c:v>
                </c:pt>
                <c:pt idx="44">
                  <c:v>15293345.608573137</c:v>
                </c:pt>
                <c:pt idx="45">
                  <c:v>15293345.608573137</c:v>
                </c:pt>
                <c:pt idx="46">
                  <c:v>15293345.608573137</c:v>
                </c:pt>
                <c:pt idx="47">
                  <c:v>15293345.608573137</c:v>
                </c:pt>
                <c:pt idx="48">
                  <c:v>15293345.608573137</c:v>
                </c:pt>
                <c:pt idx="49">
                  <c:v>15293345.608573137</c:v>
                </c:pt>
                <c:pt idx="50">
                  <c:v>15293345.608573137</c:v>
                </c:pt>
                <c:pt idx="51">
                  <c:v>15293345.608573137</c:v>
                </c:pt>
                <c:pt idx="52">
                  <c:v>15293345.608573137</c:v>
                </c:pt>
              </c:numCache>
            </c:numRef>
          </c:val>
          <c:smooth val="0"/>
          <c:extLst>
            <c:ext xmlns:c16="http://schemas.microsoft.com/office/drawing/2014/chart" uri="{C3380CC4-5D6E-409C-BE32-E72D297353CC}">
              <c16:uniqueId val="{00000001-D00D-47A0-87F5-6C7BF7D9846A}"/>
            </c:ext>
          </c:extLst>
        </c:ser>
        <c:dLbls>
          <c:showLegendKey val="0"/>
          <c:showVal val="0"/>
          <c:showCatName val="0"/>
          <c:showSerName val="0"/>
          <c:showPercent val="0"/>
          <c:showBubbleSize val="0"/>
        </c:dLbls>
        <c:marker val="1"/>
        <c:smooth val="0"/>
        <c:axId val="673019728"/>
        <c:axId val="673022248"/>
      </c:lineChart>
      <c:dateAx>
        <c:axId val="673019728"/>
        <c:scaling>
          <c:orientation val="minMax"/>
          <c:max val="62094"/>
        </c:scaling>
        <c:delete val="0"/>
        <c:axPos val="b"/>
        <c:majorGridlines>
          <c:spPr>
            <a:ln w="9525" cap="flat" cmpd="sng" algn="ctr">
              <a:solidFill>
                <a:schemeClr val="tx1">
                  <a:lumMod val="15000"/>
                  <a:lumOff val="85000"/>
                </a:schemeClr>
              </a:solidFill>
              <a:round/>
            </a:ln>
            <a:effectLst/>
          </c:spPr>
        </c:majorGridlines>
        <c:numFmt formatCode="[$-C09]dd\-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22248"/>
        <c:crosses val="autoZero"/>
        <c:auto val="1"/>
        <c:lblOffset val="100"/>
        <c:baseTimeUnit val="years"/>
      </c:dateAx>
      <c:valAx>
        <c:axId val="673022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AU" sz="1100" b="1"/>
                  <a:t>Cumulative</a:t>
                </a:r>
                <a:r>
                  <a:rPr lang="en-AU" sz="1100" b="1" baseline="0"/>
                  <a:t> Cash Flow</a:t>
                </a:r>
                <a:endParaRPr lang="en-AU" sz="1100" b="1"/>
              </a:p>
            </c:rich>
          </c:tx>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AU"/>
            </a:p>
          </c:txPr>
        </c:title>
        <c:numFmt formatCode="&quot;$&quot;#,##0;[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301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10</xdr:col>
      <xdr:colOff>0</xdr:colOff>
      <xdr:row>1</xdr:row>
      <xdr:rowOff>188515</xdr:rowOff>
    </xdr:from>
    <xdr:to>
      <xdr:col>18</xdr:col>
      <xdr:colOff>0</xdr:colOff>
      <xdr:row>33</xdr:row>
      <xdr:rowOff>0</xdr:rowOff>
    </xdr:to>
    <xdr:graphicFrame macro="">
      <xdr:nvGraphicFramePr>
        <xdr:cNvPr id="3" name="Chart 3">
          <a:extLst>
            <a:ext uri="{FF2B5EF4-FFF2-40B4-BE49-F238E27FC236}">
              <a16:creationId xmlns:a16="http://schemas.microsoft.com/office/drawing/2014/main" id="{963EB27D-84DE-39E9-6C9B-A42ACD016B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188515</xdr:rowOff>
    </xdr:from>
    <xdr:to>
      <xdr:col>8</xdr:col>
      <xdr:colOff>605233</xdr:colOff>
      <xdr:row>33</xdr:row>
      <xdr:rowOff>0</xdr:rowOff>
    </xdr:to>
    <xdr:graphicFrame macro="">
      <xdr:nvGraphicFramePr>
        <xdr:cNvPr id="5" name="Chart 1">
          <a:extLst>
            <a:ext uri="{FF2B5EF4-FFF2-40B4-BE49-F238E27FC236}">
              <a16:creationId xmlns:a16="http://schemas.microsoft.com/office/drawing/2014/main" id="{DF834F8F-9B99-4014-A531-3E6D6D73FD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34</xdr:row>
      <xdr:rowOff>183443</xdr:rowOff>
    </xdr:from>
    <xdr:to>
      <xdr:col>18</xdr:col>
      <xdr:colOff>0</xdr:colOff>
      <xdr:row>54</xdr:row>
      <xdr:rowOff>183443</xdr:rowOff>
    </xdr:to>
    <xdr:graphicFrame macro="">
      <xdr:nvGraphicFramePr>
        <xdr:cNvPr id="2" name="Chart 1">
          <a:extLst>
            <a:ext uri="{FF2B5EF4-FFF2-40B4-BE49-F238E27FC236}">
              <a16:creationId xmlns:a16="http://schemas.microsoft.com/office/drawing/2014/main" id="{1FBD5C9C-1063-4762-B690-C1B679771B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hyperlink" Target="mailto:ceff@dwer.wa.gov.a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dcceew.gov.au/climate-change/publications/national-greenhouse-accounts-factors-2023" TargetMode="External"/><Relationship Id="rId2" Type="http://schemas.openxmlformats.org/officeDocument/2006/relationships/hyperlink" Target="https://www.dcceew.gov.au/climate-change/emissions-reporting/projecting-emissions" TargetMode="External"/><Relationship Id="rId1" Type="http://schemas.openxmlformats.org/officeDocument/2006/relationships/hyperlink" Target="https://www.dcceew.gov.au/climate-change/publications/national-greenhouse-accounts-factors-2023"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cleanenergyregulator.gov.au/NGER/The-safeguard-mechanism" TargetMode="External"/><Relationship Id="rId2" Type="http://schemas.openxmlformats.org/officeDocument/2006/relationships/hyperlink" Target="https://www.cleanenergyregulator.gov.au/OSR/ANREU/types-of-emissions-units/australian-carbon-credit-units" TargetMode="External"/><Relationship Id="rId1" Type="http://schemas.openxmlformats.org/officeDocument/2006/relationships/hyperlink" Target="https://www.cleanenergyregulator.gov.au/NGER/About-the-National-Greenhouse-and-Energy-Reporting-scheme/Greenhouse-gases-and-energy" TargetMode="External"/><Relationship Id="rId5" Type="http://schemas.openxmlformats.org/officeDocument/2006/relationships/hyperlink" Target="https://www.wa.gov.au/service/environment/environment-information-services/clean-energy-future-fund" TargetMode="External"/><Relationship Id="rId4" Type="http://schemas.openxmlformats.org/officeDocument/2006/relationships/hyperlink" Target="https://www.dcceew.gov.au/climate-change/publications/national-greenhouse-accounts-factors-2023"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dcceew.gov.au/climate-change/publications/national-greenhouse-accounts-factors" TargetMode="External"/><Relationship Id="rId7" Type="http://schemas.openxmlformats.org/officeDocument/2006/relationships/vmlDrawing" Target="../drawings/vmlDrawing1.vml"/><Relationship Id="rId2" Type="http://schemas.openxmlformats.org/officeDocument/2006/relationships/hyperlink" Target="https://www.dcceew.gov.au/climate-change/publications/national-greenhouse-accounts-factors" TargetMode="External"/><Relationship Id="rId1" Type="http://schemas.openxmlformats.org/officeDocument/2006/relationships/hyperlink" Target="https://sciencing.com/much-land-needed-wind-turbines-12304634.html" TargetMode="External"/><Relationship Id="rId6" Type="http://schemas.openxmlformats.org/officeDocument/2006/relationships/printerSettings" Target="../printerSettings/printerSettings2.bin"/><Relationship Id="rId5" Type="http://schemas.openxmlformats.org/officeDocument/2006/relationships/hyperlink" Target="https://www.dcceew.gov.au/sites/default/files/documents/australias-emissions-projections-2024.pdf" TargetMode="External"/><Relationship Id="rId4" Type="http://schemas.openxmlformats.org/officeDocument/2006/relationships/hyperlink" Target="https://www.dcceew.gov.au/sites/default/files/documents/australias-emissions-projections-2024.pdf"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653F-4713-4E1C-8C01-49F88E7CCA7F}">
  <sheetPr codeName="Sheet1">
    <tabColor rgb="FF92D050"/>
  </sheetPr>
  <dimension ref="A1:C34"/>
  <sheetViews>
    <sheetView workbookViewId="0">
      <selection activeCell="A17" sqref="A17"/>
    </sheetView>
  </sheetViews>
  <sheetFormatPr defaultRowHeight="15" x14ac:dyDescent="0.25"/>
  <cols>
    <col min="1" max="1" width="45.7109375" customWidth="1"/>
    <col min="2" max="2" width="31.85546875" hidden="1" customWidth="1"/>
    <col min="3" max="3" width="0" hidden="1" customWidth="1"/>
  </cols>
  <sheetData>
    <row r="1" spans="1:3" x14ac:dyDescent="0.25">
      <c r="A1" s="134" t="s">
        <v>0</v>
      </c>
    </row>
    <row r="2" spans="1:3" x14ac:dyDescent="0.25">
      <c r="A2" s="92" t="str">
        <f>HYPERLINK("#'Assumptions'!A1",Index!B2)</f>
        <v>1. Assumptions</v>
      </c>
      <c r="B2" s="679" t="s">
        <v>463</v>
      </c>
      <c r="C2" t="s">
        <v>485</v>
      </c>
    </row>
    <row r="3" spans="1:3" x14ac:dyDescent="0.25">
      <c r="A3" s="92" t="str">
        <f>HYPERLINK("#'Project Model'!"&amp;C3,Index!B3)</f>
        <v>2.  Construction or capital costs</v>
      </c>
      <c r="B3" s="679" t="s">
        <v>464</v>
      </c>
      <c r="C3" t="s">
        <v>486</v>
      </c>
    </row>
    <row r="4" spans="1:3" x14ac:dyDescent="0.25">
      <c r="A4" s="92" t="str">
        <f>HYPERLINK("#'Project Model'!"&amp;C4,Index!B4)</f>
        <v>3.  Timing impacts</v>
      </c>
      <c r="B4" s="679" t="s">
        <v>465</v>
      </c>
      <c r="C4" t="s">
        <v>487</v>
      </c>
    </row>
    <row r="5" spans="1:3" x14ac:dyDescent="0.25">
      <c r="A5" s="92" t="str">
        <f>HYPERLINK("#'Project Model'!"&amp;C5,Index!B5)</f>
        <v>4.  Operating inputs or costs</v>
      </c>
      <c r="B5" s="679" t="s">
        <v>466</v>
      </c>
      <c r="C5" t="s">
        <v>488</v>
      </c>
    </row>
    <row r="6" spans="1:3" x14ac:dyDescent="0.25">
      <c r="A6" s="92" t="str">
        <f>HYPERLINK("#'Project Model'!"&amp;C6,Index!B6)</f>
        <v>5.  Operating outputs or savings</v>
      </c>
      <c r="B6" s="679" t="s">
        <v>467</v>
      </c>
      <c r="C6" t="s">
        <v>489</v>
      </c>
    </row>
    <row r="7" spans="1:3" x14ac:dyDescent="0.25">
      <c r="A7" s="92" t="str">
        <f>HYPERLINK("#'Project Model'!"&amp;C7,Index!B7)</f>
        <v>6.  End of life</v>
      </c>
      <c r="B7" s="679" t="s">
        <v>468</v>
      </c>
      <c r="C7" t="s">
        <v>490</v>
      </c>
    </row>
    <row r="8" spans="1:3" x14ac:dyDescent="0.25">
      <c r="A8" s="92" t="str">
        <f>HYPERLINK("#'Project Model'!"&amp;C8,Index!B8)</f>
        <v>7.  Net benefits (outputs less inputs)</v>
      </c>
      <c r="B8" s="679" t="s">
        <v>469</v>
      </c>
      <c r="C8" t="s">
        <v>491</v>
      </c>
    </row>
    <row r="9" spans="1:3" x14ac:dyDescent="0.25">
      <c r="A9" s="92" t="str">
        <f>HYPERLINK("#'Cashflow'!A1",Index!B9)</f>
        <v>8.  Cashflow</v>
      </c>
      <c r="B9" s="679" t="s">
        <v>470</v>
      </c>
    </row>
    <row r="10" spans="1:3" x14ac:dyDescent="0.25">
      <c r="A10" s="92" t="str">
        <f>HYPERLINK("#'Funding'!A1",Index!B10)</f>
        <v>9.  Funding</v>
      </c>
      <c r="B10" s="679" t="s">
        <v>471</v>
      </c>
    </row>
    <row r="11" spans="1:3" x14ac:dyDescent="0.25">
      <c r="A11" s="92" t="str">
        <f>HYPERLINK("#'Funding'!A21",Index!B11)</f>
        <v>10.  CEFF parameters</v>
      </c>
      <c r="B11" s="679" t="s">
        <v>472</v>
      </c>
    </row>
    <row r="12" spans="1:3" x14ac:dyDescent="0.25">
      <c r="A12" s="92" t="str">
        <f>HYPERLINK("#'Outputs'!A1",Index!B12)</f>
        <v>11.  Validation</v>
      </c>
      <c r="B12" s="679" t="s">
        <v>473</v>
      </c>
    </row>
    <row r="13" spans="1:3" x14ac:dyDescent="0.25">
      <c r="A13" s="92" t="str">
        <f>HYPERLINK("#'Outputs'!A12",Index!B13)</f>
        <v>12.  Project summary</v>
      </c>
      <c r="B13" s="679" t="s">
        <v>474</v>
      </c>
    </row>
    <row r="14" spans="1:3" x14ac:dyDescent="0.25">
      <c r="A14" s="92" t="str">
        <f>HYPERLINK("#'In-kind'!A1",Index!B14)</f>
        <v>13. In-kind Expenses</v>
      </c>
      <c r="B14" s="679" t="s">
        <v>1</v>
      </c>
    </row>
    <row r="15" spans="1:3" x14ac:dyDescent="0.25">
      <c r="A15" s="92" t="str">
        <f>HYPERLINK("#'Milestones'!A1",Index!B15)</f>
        <v>14. Milestone Table</v>
      </c>
      <c r="B15" s="679" t="s">
        <v>2</v>
      </c>
    </row>
    <row r="16" spans="1:3" x14ac:dyDescent="0.25">
      <c r="A16" s="92" t="str">
        <f>HYPERLINK("#'Charts'!A91",Index!B16)</f>
        <v>15. Charts</v>
      </c>
      <c r="B16" s="679" t="s">
        <v>3</v>
      </c>
    </row>
    <row r="17" spans="1:2" x14ac:dyDescent="0.25">
      <c r="A17" s="92" t="str">
        <f>HYPERLINK("#'Eligible costs'!A1",Index!B17)</f>
        <v>16. Eligible Costs</v>
      </c>
      <c r="B17" s="679" t="s">
        <v>4</v>
      </c>
    </row>
    <row r="22" spans="1:2" x14ac:dyDescent="0.25">
      <c r="A22" s="678"/>
    </row>
    <row r="23" spans="1:2" x14ac:dyDescent="0.25">
      <c r="A23" s="678"/>
    </row>
    <row r="24" spans="1:2" x14ac:dyDescent="0.25">
      <c r="A24" s="678"/>
    </row>
    <row r="25" spans="1:2" x14ac:dyDescent="0.25">
      <c r="A25" s="678"/>
    </row>
    <row r="26" spans="1:2" x14ac:dyDescent="0.25">
      <c r="A26" s="678"/>
    </row>
    <row r="27" spans="1:2" x14ac:dyDescent="0.25">
      <c r="A27" s="678"/>
    </row>
    <row r="28" spans="1:2" x14ac:dyDescent="0.25">
      <c r="A28" s="678"/>
    </row>
    <row r="29" spans="1:2" x14ac:dyDescent="0.25">
      <c r="A29" s="678"/>
    </row>
    <row r="30" spans="1:2" x14ac:dyDescent="0.25">
      <c r="A30" s="678"/>
    </row>
    <row r="31" spans="1:2" x14ac:dyDescent="0.25">
      <c r="A31" s="678"/>
    </row>
    <row r="32" spans="1:2" x14ac:dyDescent="0.25">
      <c r="A32" s="678"/>
    </row>
    <row r="33" spans="1:1" x14ac:dyDescent="0.25">
      <c r="A33" s="678"/>
    </row>
    <row r="34" spans="1:1" x14ac:dyDescent="0.25">
      <c r="A34" s="678"/>
    </row>
  </sheetData>
  <sortState xmlns:xlrd2="http://schemas.microsoft.com/office/spreadsheetml/2017/richdata2" ref="B3:B11">
    <sortCondition ref="B3:B11"/>
  </sortState>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16DA5-A4B5-4E21-AB89-F4E401189EEB}">
  <sheetPr codeName="Sheet13"/>
  <dimension ref="A1:C22"/>
  <sheetViews>
    <sheetView workbookViewId="0"/>
  </sheetViews>
  <sheetFormatPr defaultRowHeight="15" x14ac:dyDescent="0.25"/>
  <cols>
    <col min="1" max="1" width="7" customWidth="1"/>
    <col min="2" max="2" width="10.85546875" customWidth="1"/>
    <col min="3" max="3" width="102" customWidth="1"/>
  </cols>
  <sheetData>
    <row r="1" spans="1:3" ht="18.75" x14ac:dyDescent="0.25">
      <c r="A1" s="680" t="s">
        <v>366</v>
      </c>
      <c r="B1" s="631"/>
      <c r="C1" s="631"/>
    </row>
    <row r="2" spans="1:3" x14ac:dyDescent="0.25">
      <c r="A2" s="681" t="s">
        <v>367</v>
      </c>
      <c r="B2" s="631" t="s">
        <v>496</v>
      </c>
      <c r="C2" s="631"/>
    </row>
    <row r="3" spans="1:3" x14ac:dyDescent="0.25">
      <c r="A3" s="681" t="s">
        <v>368</v>
      </c>
      <c r="B3" s="923" t="s">
        <v>369</v>
      </c>
      <c r="C3" s="923"/>
    </row>
    <row r="4" spans="1:3" ht="31.5" customHeight="1" x14ac:dyDescent="0.25">
      <c r="A4" s="681" t="s">
        <v>370</v>
      </c>
      <c r="B4" s="923" t="s">
        <v>371</v>
      </c>
      <c r="C4" s="923"/>
    </row>
    <row r="5" spans="1:3" x14ac:dyDescent="0.25">
      <c r="A5" s="681" t="s">
        <v>372</v>
      </c>
      <c r="B5" s="923" t="s">
        <v>373</v>
      </c>
      <c r="C5" s="923"/>
    </row>
    <row r="6" spans="1:3" x14ac:dyDescent="0.25">
      <c r="A6" s="681"/>
      <c r="B6" s="631"/>
      <c r="C6" s="631"/>
    </row>
    <row r="7" spans="1:3" ht="18.75" x14ac:dyDescent="0.25">
      <c r="A7" s="680" t="s">
        <v>374</v>
      </c>
      <c r="B7" s="631"/>
      <c r="C7" s="631"/>
    </row>
    <row r="8" spans="1:3" x14ac:dyDescent="0.25">
      <c r="A8" s="681" t="s">
        <v>367</v>
      </c>
      <c r="B8" s="923" t="s">
        <v>375</v>
      </c>
      <c r="C8" s="923"/>
    </row>
    <row r="9" spans="1:3" x14ac:dyDescent="0.25">
      <c r="A9" s="681" t="s">
        <v>368</v>
      </c>
      <c r="B9" s="923" t="s">
        <v>376</v>
      </c>
      <c r="C9" s="923"/>
    </row>
    <row r="10" spans="1:3" x14ac:dyDescent="0.25">
      <c r="A10" s="681" t="s">
        <v>370</v>
      </c>
      <c r="B10" s="923" t="s">
        <v>377</v>
      </c>
      <c r="C10" s="923"/>
    </row>
    <row r="11" spans="1:3" x14ac:dyDescent="0.25">
      <c r="A11" s="681" t="s">
        <v>372</v>
      </c>
      <c r="B11" s="923" t="s">
        <v>378</v>
      </c>
      <c r="C11" s="923"/>
    </row>
    <row r="12" spans="1:3" x14ac:dyDescent="0.25">
      <c r="A12" s="681" t="s">
        <v>379</v>
      </c>
      <c r="B12" s="923" t="s">
        <v>380</v>
      </c>
      <c r="C12" s="923"/>
    </row>
    <row r="13" spans="1:3" x14ac:dyDescent="0.25">
      <c r="A13" s="681" t="s">
        <v>381</v>
      </c>
      <c r="B13" s="923" t="s">
        <v>382</v>
      </c>
      <c r="C13" s="923"/>
    </row>
    <row r="14" spans="1:3" ht="29.25" customHeight="1" x14ac:dyDescent="0.25">
      <c r="A14" s="681" t="s">
        <v>383</v>
      </c>
      <c r="B14" s="923" t="s">
        <v>384</v>
      </c>
      <c r="C14" s="923"/>
    </row>
    <row r="15" spans="1:3" x14ac:dyDescent="0.25">
      <c r="A15" s="681" t="s">
        <v>385</v>
      </c>
      <c r="B15" s="923" t="s">
        <v>386</v>
      </c>
      <c r="C15" s="923"/>
    </row>
    <row r="16" spans="1:3" ht="30.75" customHeight="1" x14ac:dyDescent="0.25">
      <c r="A16" s="681" t="s">
        <v>387</v>
      </c>
      <c r="B16" s="923" t="s">
        <v>388</v>
      </c>
      <c r="C16" s="923"/>
    </row>
    <row r="17" spans="1:3" x14ac:dyDescent="0.25">
      <c r="A17" s="681"/>
      <c r="B17" s="631"/>
      <c r="C17" s="631"/>
    </row>
    <row r="18" spans="1:3" ht="46.5" customHeight="1" x14ac:dyDescent="0.25">
      <c r="A18" s="923" t="s">
        <v>389</v>
      </c>
      <c r="B18" s="923"/>
      <c r="C18" s="923"/>
    </row>
    <row r="19" spans="1:3" ht="35.25" customHeight="1" x14ac:dyDescent="0.25">
      <c r="A19" s="924" t="s">
        <v>390</v>
      </c>
      <c r="B19" s="924"/>
      <c r="C19" s="924"/>
    </row>
    <row r="20" spans="1:3" ht="30" customHeight="1" x14ac:dyDescent="0.25">
      <c r="A20" s="923" t="s">
        <v>391</v>
      </c>
      <c r="B20" s="923"/>
      <c r="C20" s="923"/>
    </row>
    <row r="21" spans="1:3" x14ac:dyDescent="0.25">
      <c r="A21" s="925" t="s">
        <v>392</v>
      </c>
      <c r="B21" s="925"/>
      <c r="C21" s="925"/>
    </row>
    <row r="22" spans="1:3" x14ac:dyDescent="0.25">
      <c r="A22" s="681"/>
      <c r="B22" s="631"/>
      <c r="C22" s="631"/>
    </row>
  </sheetData>
  <mergeCells count="16">
    <mergeCell ref="B10:C10"/>
    <mergeCell ref="B3:C3"/>
    <mergeCell ref="B4:C4"/>
    <mergeCell ref="B5:C5"/>
    <mergeCell ref="B8:C8"/>
    <mergeCell ref="B9:C9"/>
    <mergeCell ref="A18:C18"/>
    <mergeCell ref="A19:C19"/>
    <mergeCell ref="A20:C20"/>
    <mergeCell ref="A21:C21"/>
    <mergeCell ref="B11:C11"/>
    <mergeCell ref="B12:C12"/>
    <mergeCell ref="B13:C13"/>
    <mergeCell ref="B14:C14"/>
    <mergeCell ref="B15:C15"/>
    <mergeCell ref="B16:C16"/>
  </mergeCells>
  <hyperlinks>
    <hyperlink ref="A21" r:id="rId1" xr:uid="{0B007E03-3E8F-4A39-9921-628BD4A2304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1C69D-8A5D-4DBA-98CB-3220ADD0E3B5}">
  <sheetPr codeName="Sheet12"/>
  <dimension ref="A1:D10"/>
  <sheetViews>
    <sheetView workbookViewId="0">
      <selection activeCell="A2" sqref="A2"/>
    </sheetView>
  </sheetViews>
  <sheetFormatPr defaultRowHeight="15" x14ac:dyDescent="0.25"/>
  <cols>
    <col min="1" max="1" width="40.5703125" customWidth="1"/>
    <col min="2" max="2" width="16.85546875" bestFit="1" customWidth="1"/>
    <col min="3" max="3" width="14.85546875" bestFit="1" customWidth="1"/>
    <col min="4" max="4" width="12.5703125" customWidth="1"/>
    <col min="5" max="5" width="14.85546875" bestFit="1" customWidth="1"/>
    <col min="7" max="7" width="14.85546875" bestFit="1" customWidth="1"/>
  </cols>
  <sheetData>
    <row r="1" spans="1:4" ht="23.25" x14ac:dyDescent="0.35">
      <c r="A1" s="31" t="s">
        <v>393</v>
      </c>
    </row>
    <row r="5" spans="1:4" x14ac:dyDescent="0.25">
      <c r="D5" s="92"/>
    </row>
    <row r="7" spans="1:4" x14ac:dyDescent="0.25">
      <c r="B7" s="93"/>
    </row>
    <row r="8" spans="1:4" x14ac:dyDescent="0.25">
      <c r="B8" s="13"/>
    </row>
    <row r="9" spans="1:4" x14ac:dyDescent="0.25">
      <c r="B9" s="89"/>
    </row>
    <row r="10" spans="1:4" x14ac:dyDescent="0.25">
      <c r="B10" s="89"/>
    </row>
  </sheetData>
  <pageMargins left="0.7" right="0.7" top="0.75" bottom="0.75" header="0.3" footer="0.3"/>
  <pageSetup orientation="portrait" r:id="rId1"/>
  <headerFooter>
    <oddHeader>&amp;C&amp;"Calibri"&amp;10&amp;KFF0000 OFFICIAL&amp;1#_x000D_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92149-2508-4438-AA2D-038E71915A25}">
  <sheetPr codeName="Sheet8"/>
  <dimension ref="A1:T31"/>
  <sheetViews>
    <sheetView workbookViewId="0">
      <selection activeCell="S20" sqref="S20"/>
    </sheetView>
  </sheetViews>
  <sheetFormatPr defaultColWidth="9" defaultRowHeight="12.75" x14ac:dyDescent="0.25"/>
  <cols>
    <col min="1" max="1" width="22.85546875" style="372" customWidth="1"/>
    <col min="2" max="2" width="9" style="372" customWidth="1"/>
    <col min="3" max="7" width="6.85546875" style="372" customWidth="1"/>
    <col min="8" max="8" width="8" style="372" customWidth="1"/>
    <col min="9" max="11" width="6.85546875" style="372" customWidth="1"/>
    <col min="12" max="12" width="5.85546875" style="372" customWidth="1"/>
    <col min="13" max="13" width="5" style="372" customWidth="1"/>
    <col min="14" max="14" width="6.85546875" style="372" customWidth="1"/>
    <col min="15" max="15" width="8" style="372" customWidth="1"/>
    <col min="16" max="17" width="6.85546875" style="372" customWidth="1"/>
    <col min="18" max="18" width="5.85546875" style="372" customWidth="1"/>
    <col min="19" max="19" width="13.85546875" style="372" customWidth="1"/>
    <col min="20" max="16384" width="9" style="372"/>
  </cols>
  <sheetData>
    <row r="1" spans="1:20" ht="18.75" x14ac:dyDescent="0.3">
      <c r="A1" s="693" t="s">
        <v>394</v>
      </c>
    </row>
    <row r="2" spans="1:20" ht="15" x14ac:dyDescent="0.25">
      <c r="A2" s="926" t="s">
        <v>395</v>
      </c>
      <c r="B2" s="926"/>
      <c r="C2" s="926"/>
      <c r="D2" s="926"/>
      <c r="E2" s="926"/>
      <c r="F2" s="926"/>
      <c r="G2" s="926"/>
      <c r="H2" s="926"/>
      <c r="I2" s="926"/>
      <c r="J2" s="926"/>
      <c r="K2" s="926"/>
      <c r="L2" s="926"/>
      <c r="M2" s="926"/>
      <c r="N2" s="926"/>
      <c r="O2" s="926"/>
      <c r="P2" s="926"/>
      <c r="Q2" s="926"/>
      <c r="R2" s="926"/>
      <c r="S2" s="926"/>
    </row>
    <row r="3" spans="1:20" ht="15" x14ac:dyDescent="0.25">
      <c r="A3" t="s">
        <v>396</v>
      </c>
      <c r="B3"/>
      <c r="C3"/>
      <c r="D3"/>
      <c r="E3"/>
      <c r="F3"/>
      <c r="G3"/>
      <c r="H3"/>
      <c r="I3"/>
      <c r="J3"/>
      <c r="K3"/>
      <c r="L3"/>
      <c r="M3"/>
      <c r="N3"/>
      <c r="O3"/>
      <c r="P3"/>
      <c r="Q3"/>
      <c r="R3"/>
      <c r="S3"/>
    </row>
    <row r="4" spans="1:20" ht="15" x14ac:dyDescent="0.25">
      <c r="A4"/>
      <c r="B4"/>
      <c r="C4"/>
      <c r="D4"/>
      <c r="E4"/>
      <c r="F4"/>
      <c r="G4"/>
      <c r="H4"/>
      <c r="I4"/>
      <c r="J4"/>
      <c r="K4"/>
      <c r="L4"/>
      <c r="M4"/>
      <c r="N4"/>
      <c r="O4"/>
      <c r="P4"/>
      <c r="Q4"/>
      <c r="R4"/>
      <c r="S4"/>
    </row>
    <row r="5" spans="1:20" ht="18" customHeight="1" x14ac:dyDescent="0.2">
      <c r="A5" s="927"/>
      <c r="B5" s="927"/>
      <c r="C5" s="384">
        <v>2025</v>
      </c>
      <c r="D5" s="388">
        <v>2026</v>
      </c>
      <c r="E5" s="382">
        <v>2027</v>
      </c>
      <c r="F5" s="382">
        <v>2028</v>
      </c>
      <c r="G5" s="382">
        <v>2029</v>
      </c>
      <c r="H5" s="382">
        <v>2030</v>
      </c>
      <c r="I5" s="382">
        <v>2031</v>
      </c>
      <c r="J5" s="383">
        <v>2032</v>
      </c>
      <c r="K5" s="383">
        <v>2033</v>
      </c>
      <c r="L5" s="382">
        <v>2034</v>
      </c>
      <c r="M5" s="384">
        <v>2035</v>
      </c>
      <c r="N5" s="384">
        <v>2036</v>
      </c>
      <c r="O5" s="384">
        <v>2037</v>
      </c>
      <c r="P5" s="382">
        <v>2038</v>
      </c>
      <c r="Q5" s="382">
        <v>2039</v>
      </c>
      <c r="R5" s="382">
        <v>2040</v>
      </c>
      <c r="S5" s="373"/>
    </row>
    <row r="6" spans="1:20" ht="17.25" customHeight="1" x14ac:dyDescent="0.2">
      <c r="A6" s="928" t="s">
        <v>397</v>
      </c>
      <c r="B6" s="928"/>
      <c r="C6" s="378">
        <v>0.56999999999999995</v>
      </c>
      <c r="D6" s="387">
        <v>0.52</v>
      </c>
      <c r="E6" s="375">
        <v>0.48</v>
      </c>
      <c r="F6" s="375">
        <v>0.39</v>
      </c>
      <c r="G6" s="375">
        <v>0.26</v>
      </c>
      <c r="H6" s="375">
        <v>0.17</v>
      </c>
      <c r="I6" s="375">
        <v>0.17</v>
      </c>
      <c r="J6" s="377">
        <v>0.14000000000000001</v>
      </c>
      <c r="K6" s="377">
        <v>0.12</v>
      </c>
      <c r="L6" s="375">
        <v>0.13</v>
      </c>
      <c r="M6" s="378">
        <v>0.08</v>
      </c>
      <c r="N6" s="378">
        <v>0.08</v>
      </c>
      <c r="O6" s="378">
        <v>7.0000000000000007E-2</v>
      </c>
      <c r="P6" s="375">
        <v>7.0000000000000007E-2</v>
      </c>
      <c r="Q6" s="375">
        <v>7.0000000000000007E-2</v>
      </c>
      <c r="R6" s="375">
        <v>0.06</v>
      </c>
      <c r="S6" s="373"/>
    </row>
    <row r="7" spans="1:20" ht="18" customHeight="1" x14ac:dyDescent="0.2">
      <c r="A7" s="928" t="s">
        <v>398</v>
      </c>
      <c r="B7" s="928"/>
      <c r="C7" s="378">
        <v>0.56999999999999995</v>
      </c>
      <c r="D7" s="387">
        <v>0.52</v>
      </c>
      <c r="E7" s="375">
        <v>0.48</v>
      </c>
      <c r="F7" s="375">
        <v>0.39</v>
      </c>
      <c r="G7" s="375">
        <v>0.26</v>
      </c>
      <c r="H7" s="375">
        <v>0.16</v>
      </c>
      <c r="I7" s="375">
        <v>0.16</v>
      </c>
      <c r="J7" s="377">
        <v>0.13</v>
      </c>
      <c r="K7" s="377">
        <v>0.12</v>
      </c>
      <c r="L7" s="375">
        <v>0.12</v>
      </c>
      <c r="M7" s="378">
        <v>7.0000000000000007E-2</v>
      </c>
      <c r="N7" s="378">
        <v>7.0000000000000007E-2</v>
      </c>
      <c r="O7" s="378">
        <v>0.06</v>
      </c>
      <c r="P7" s="375">
        <v>0.06</v>
      </c>
      <c r="Q7" s="375">
        <v>0.06</v>
      </c>
      <c r="R7" s="375">
        <v>0.05</v>
      </c>
      <c r="S7" s="373"/>
    </row>
    <row r="8" spans="1:20" ht="17.25" customHeight="1" x14ac:dyDescent="0.2">
      <c r="A8" s="930" t="s">
        <v>399</v>
      </c>
      <c r="B8" s="930"/>
      <c r="C8" s="378">
        <v>0.51</v>
      </c>
      <c r="D8" s="387">
        <v>0.47</v>
      </c>
      <c r="E8" s="375">
        <v>0.4</v>
      </c>
      <c r="F8" s="375">
        <v>0.34</v>
      </c>
      <c r="G8" s="375">
        <v>0.21</v>
      </c>
      <c r="H8" s="375">
        <v>0.15</v>
      </c>
      <c r="I8" s="375">
        <v>0.15</v>
      </c>
      <c r="J8" s="377">
        <v>0.13</v>
      </c>
      <c r="K8" s="377">
        <v>0.09</v>
      </c>
      <c r="L8" s="375">
        <v>0.09</v>
      </c>
      <c r="M8" s="378">
        <v>7.0000000000000007E-2</v>
      </c>
      <c r="N8" s="378">
        <v>0.06</v>
      </c>
      <c r="O8" s="378">
        <v>0.06</v>
      </c>
      <c r="P8" s="375">
        <v>0.06</v>
      </c>
      <c r="Q8" s="375">
        <v>0.06</v>
      </c>
      <c r="R8" s="375">
        <v>0.03</v>
      </c>
      <c r="S8" s="373"/>
    </row>
    <row r="9" spans="1:20" ht="17.25" customHeight="1" x14ac:dyDescent="0.2">
      <c r="A9" s="930" t="s">
        <v>400</v>
      </c>
      <c r="B9" s="930"/>
      <c r="C9" s="378">
        <v>0.65</v>
      </c>
      <c r="D9" s="387">
        <v>0.59</v>
      </c>
      <c r="E9" s="375">
        <v>0.55000000000000004</v>
      </c>
      <c r="F9" s="375">
        <v>0.49</v>
      </c>
      <c r="G9" s="375">
        <v>0.33</v>
      </c>
      <c r="H9" s="375">
        <v>0.17</v>
      </c>
      <c r="I9" s="375">
        <v>0.17</v>
      </c>
      <c r="J9" s="377">
        <v>0.13</v>
      </c>
      <c r="K9" s="377">
        <v>0.14000000000000001</v>
      </c>
      <c r="L9" s="375">
        <v>0.15</v>
      </c>
      <c r="M9" s="378">
        <v>0.13</v>
      </c>
      <c r="N9" s="378">
        <v>0.12</v>
      </c>
      <c r="O9" s="378">
        <v>0.1</v>
      </c>
      <c r="P9" s="375">
        <v>0.1</v>
      </c>
      <c r="Q9" s="375">
        <v>0.1</v>
      </c>
      <c r="R9" s="375">
        <v>0.1</v>
      </c>
      <c r="S9" s="373"/>
    </row>
    <row r="10" spans="1:20" ht="18" customHeight="1" x14ac:dyDescent="0.2">
      <c r="A10" s="930" t="s">
        <v>401</v>
      </c>
      <c r="B10" s="930"/>
      <c r="C10" s="378">
        <v>0.2</v>
      </c>
      <c r="D10" s="387">
        <v>0.2</v>
      </c>
      <c r="E10" s="375">
        <v>0.19</v>
      </c>
      <c r="F10" s="375">
        <v>0.19</v>
      </c>
      <c r="G10" s="375">
        <v>0.14000000000000001</v>
      </c>
      <c r="H10" s="375">
        <v>0.09</v>
      </c>
      <c r="I10" s="375">
        <v>0.08</v>
      </c>
      <c r="J10" s="377">
        <v>0.05</v>
      </c>
      <c r="K10" s="377">
        <v>0.06</v>
      </c>
      <c r="L10" s="375">
        <v>0.06</v>
      </c>
      <c r="M10" s="378">
        <v>0.06</v>
      </c>
      <c r="N10" s="378">
        <v>0.06</v>
      </c>
      <c r="O10" s="378">
        <v>0.05</v>
      </c>
      <c r="P10" s="375">
        <v>0.04</v>
      </c>
      <c r="Q10" s="375">
        <v>0.05</v>
      </c>
      <c r="R10" s="375">
        <v>0.05</v>
      </c>
      <c r="S10" s="373"/>
      <c r="T10" s="389"/>
    </row>
    <row r="11" spans="1:20" ht="17.25" customHeight="1" x14ac:dyDescent="0.2">
      <c r="A11" s="930" t="s">
        <v>402</v>
      </c>
      <c r="B11" s="930"/>
      <c r="C11" s="378">
        <v>0.75</v>
      </c>
      <c r="D11" s="387">
        <v>0.69</v>
      </c>
      <c r="E11" s="375">
        <v>0.67</v>
      </c>
      <c r="F11" s="375">
        <v>0.5</v>
      </c>
      <c r="G11" s="375">
        <v>0.34</v>
      </c>
      <c r="H11" s="375">
        <v>0.24</v>
      </c>
      <c r="I11" s="375">
        <v>0.22</v>
      </c>
      <c r="J11" s="377">
        <v>0.18</v>
      </c>
      <c r="K11" s="377">
        <v>0.18</v>
      </c>
      <c r="L11" s="375">
        <v>0.17</v>
      </c>
      <c r="M11" s="378">
        <v>0.02</v>
      </c>
      <c r="N11" s="378">
        <v>0.01</v>
      </c>
      <c r="O11" s="378">
        <v>0.01</v>
      </c>
      <c r="P11" s="375">
        <v>0.01</v>
      </c>
      <c r="Q11" s="375">
        <v>0.01</v>
      </c>
      <c r="R11" s="375">
        <v>0.01</v>
      </c>
      <c r="S11" s="373"/>
    </row>
    <row r="12" spans="1:20" ht="18" customHeight="1" x14ac:dyDescent="0.2">
      <c r="A12" s="930" t="s">
        <v>403</v>
      </c>
      <c r="B12" s="930"/>
      <c r="C12" s="378">
        <v>0.18</v>
      </c>
      <c r="D12" s="387">
        <v>0.17</v>
      </c>
      <c r="E12" s="375">
        <v>0.17</v>
      </c>
      <c r="F12" s="375">
        <v>0.03</v>
      </c>
      <c r="G12" s="375">
        <v>0.03</v>
      </c>
      <c r="H12" s="375">
        <v>0.02</v>
      </c>
      <c r="I12" s="375">
        <v>0.03</v>
      </c>
      <c r="J12" s="377">
        <v>0.04</v>
      </c>
      <c r="K12" s="377">
        <v>0.04</v>
      </c>
      <c r="L12" s="375">
        <v>0.05</v>
      </c>
      <c r="M12" s="378">
        <v>0.01</v>
      </c>
      <c r="N12" s="378">
        <v>0.01</v>
      </c>
      <c r="O12" s="378">
        <v>0.01</v>
      </c>
      <c r="P12" s="375">
        <v>0.01</v>
      </c>
      <c r="Q12" s="375">
        <v>0.01</v>
      </c>
      <c r="R12" s="375">
        <v>0.01</v>
      </c>
      <c r="S12" s="373"/>
    </row>
    <row r="13" spans="1:20" ht="28.15" customHeight="1" x14ac:dyDescent="0.25">
      <c r="A13" s="929" t="s">
        <v>404</v>
      </c>
      <c r="B13" s="929"/>
      <c r="C13" s="687">
        <v>0.5</v>
      </c>
      <c r="D13" s="688">
        <v>0.47</v>
      </c>
      <c r="E13" s="689">
        <v>0.43</v>
      </c>
      <c r="F13" s="689">
        <v>0.31</v>
      </c>
      <c r="G13" s="689">
        <v>0.23</v>
      </c>
      <c r="H13" s="689">
        <v>0.13</v>
      </c>
      <c r="I13" s="689">
        <v>0.12</v>
      </c>
      <c r="J13" s="690">
        <v>0.13</v>
      </c>
      <c r="K13" s="690">
        <v>0.12</v>
      </c>
      <c r="L13" s="689">
        <v>0.12</v>
      </c>
      <c r="M13" s="687">
        <v>0.12</v>
      </c>
      <c r="N13" s="687">
        <v>0.11</v>
      </c>
      <c r="O13" s="687">
        <v>0.11</v>
      </c>
      <c r="P13" s="689">
        <v>0.1</v>
      </c>
      <c r="Q13" s="689">
        <v>0.1</v>
      </c>
      <c r="R13" s="689">
        <v>0.12</v>
      </c>
      <c r="S13" s="374"/>
    </row>
    <row r="14" spans="1:20" ht="18" customHeight="1" x14ac:dyDescent="0.2">
      <c r="A14" s="931" t="s">
        <v>405</v>
      </c>
      <c r="B14" s="931"/>
      <c r="C14" s="687">
        <v>0.61</v>
      </c>
      <c r="D14" s="688">
        <v>0.59</v>
      </c>
      <c r="E14" s="689">
        <v>0.56999999999999995</v>
      </c>
      <c r="F14" s="689">
        <v>0.56000000000000005</v>
      </c>
      <c r="G14" s="689">
        <v>0.54</v>
      </c>
      <c r="H14" s="689">
        <v>0.52</v>
      </c>
      <c r="I14" s="689">
        <v>0.48</v>
      </c>
      <c r="J14" s="690">
        <v>0.44</v>
      </c>
      <c r="K14" s="690">
        <v>0.41</v>
      </c>
      <c r="L14" s="689">
        <v>0.37</v>
      </c>
      <c r="M14" s="687">
        <v>0.33</v>
      </c>
      <c r="N14" s="687">
        <v>0.28999999999999998</v>
      </c>
      <c r="O14" s="687">
        <v>0.26</v>
      </c>
      <c r="P14" s="689">
        <v>0.22</v>
      </c>
      <c r="Q14" s="689">
        <v>0.17</v>
      </c>
      <c r="R14" s="689">
        <v>0.15</v>
      </c>
      <c r="S14" s="373"/>
    </row>
    <row r="15" spans="1:20" ht="28.9" customHeight="1" x14ac:dyDescent="0.25">
      <c r="A15" s="928" t="s">
        <v>406</v>
      </c>
      <c r="B15" s="928"/>
      <c r="C15" s="378">
        <v>0.54</v>
      </c>
      <c r="D15" s="387">
        <v>0.5</v>
      </c>
      <c r="E15" s="375">
        <v>0.42</v>
      </c>
      <c r="F15" s="375">
        <v>0.39</v>
      </c>
      <c r="G15" s="375">
        <v>0.39</v>
      </c>
      <c r="H15" s="375">
        <v>0.38</v>
      </c>
      <c r="I15" s="375">
        <v>0.35</v>
      </c>
      <c r="J15" s="377">
        <v>0.35</v>
      </c>
      <c r="K15" s="377">
        <v>0.35</v>
      </c>
      <c r="L15" s="375">
        <v>0.34</v>
      </c>
      <c r="M15" s="378">
        <v>0.34</v>
      </c>
      <c r="N15" s="378">
        <v>0.34</v>
      </c>
      <c r="O15" s="378">
        <v>0.33</v>
      </c>
      <c r="P15" s="375">
        <v>0.33</v>
      </c>
      <c r="Q15" s="375">
        <v>0.33</v>
      </c>
      <c r="R15" s="375">
        <v>0.32</v>
      </c>
      <c r="S15" s="374"/>
    </row>
    <row r="16" spans="1:20" ht="28.9" customHeight="1" x14ac:dyDescent="0.25">
      <c r="A16" s="409"/>
      <c r="B16" s="410"/>
      <c r="C16" s="410"/>
      <c r="D16" s="410"/>
      <c r="E16" s="410"/>
      <c r="F16" s="410"/>
      <c r="G16" s="410"/>
      <c r="H16" s="410"/>
      <c r="I16" s="410"/>
      <c r="J16" s="410"/>
      <c r="K16" s="410"/>
      <c r="L16" s="410"/>
      <c r="M16" s="410"/>
      <c r="N16" s="410"/>
      <c r="O16" s="410"/>
      <c r="P16" s="410"/>
      <c r="Q16" s="410"/>
      <c r="R16" s="410"/>
      <c r="S16" s="374"/>
    </row>
    <row r="17" spans="1:19" ht="15" x14ac:dyDescent="0.2">
      <c r="A17" s="694" t="s">
        <v>407</v>
      </c>
      <c r="B17" s="694"/>
      <c r="C17" s="694"/>
      <c r="D17" s="694"/>
      <c r="E17" s="694"/>
      <c r="F17" s="694"/>
      <c r="G17" s="694"/>
      <c r="H17" s="694"/>
      <c r="I17" s="694"/>
      <c r="J17" s="694"/>
      <c r="K17" s="694"/>
      <c r="L17" s="694"/>
      <c r="M17" s="694"/>
      <c r="N17" s="694"/>
      <c r="O17" s="694"/>
      <c r="P17" s="694"/>
      <c r="Q17" s="694"/>
      <c r="R17" s="694"/>
      <c r="S17" s="694"/>
    </row>
    <row r="18" spans="1:19" ht="18" customHeight="1" x14ac:dyDescent="0.25">
      <c r="A18" s="932" t="s">
        <v>408</v>
      </c>
      <c r="B18" s="933"/>
      <c r="C18" s="933"/>
      <c r="D18" s="933"/>
      <c r="E18" s="933"/>
      <c r="F18" s="933"/>
      <c r="G18" s="933"/>
      <c r="H18" s="933"/>
      <c r="I18" s="933"/>
      <c r="J18" s="933"/>
      <c r="K18" s="933"/>
      <c r="L18" s="933"/>
      <c r="M18" s="933"/>
      <c r="N18" s="933"/>
      <c r="O18" s="933"/>
      <c r="P18" s="933"/>
      <c r="Q18" s="933"/>
      <c r="R18" s="933"/>
      <c r="S18" s="933"/>
    </row>
    <row r="19" spans="1:19" ht="17.25" customHeight="1" x14ac:dyDescent="0.2">
      <c r="A19" s="386"/>
      <c r="B19" s="382"/>
      <c r="C19" s="385">
        <v>2025</v>
      </c>
      <c r="D19" s="383">
        <v>2026</v>
      </c>
      <c r="E19" s="383">
        <v>2027</v>
      </c>
      <c r="F19" s="382">
        <v>2028</v>
      </c>
      <c r="G19" s="382">
        <v>2029</v>
      </c>
      <c r="H19" s="382">
        <v>2030</v>
      </c>
      <c r="I19" s="382">
        <v>2031</v>
      </c>
      <c r="J19" s="384">
        <v>2032</v>
      </c>
      <c r="K19" s="384">
        <v>2033</v>
      </c>
      <c r="L19" s="384">
        <v>2034</v>
      </c>
      <c r="M19" s="382">
        <v>2035</v>
      </c>
      <c r="N19" s="383">
        <v>2036</v>
      </c>
      <c r="O19" s="383">
        <v>2037</v>
      </c>
      <c r="P19" s="383">
        <v>2038</v>
      </c>
      <c r="Q19" s="383">
        <v>2039</v>
      </c>
      <c r="R19" s="382">
        <v>2040</v>
      </c>
      <c r="S19" s="373"/>
    </row>
    <row r="20" spans="1:19" ht="29.25" customHeight="1" x14ac:dyDescent="0.25">
      <c r="A20" s="379" t="s">
        <v>397</v>
      </c>
      <c r="B20" s="375"/>
      <c r="C20" s="376">
        <v>0.63</v>
      </c>
      <c r="D20" s="377">
        <v>0.57999999999999996</v>
      </c>
      <c r="E20" s="377">
        <v>0.53</v>
      </c>
      <c r="F20" s="375">
        <v>0.43</v>
      </c>
      <c r="G20" s="375">
        <v>0.28999999999999998</v>
      </c>
      <c r="H20" s="375">
        <v>0.19</v>
      </c>
      <c r="I20" s="375">
        <v>0.18</v>
      </c>
      <c r="J20" s="378">
        <v>0.15</v>
      </c>
      <c r="K20" s="378">
        <v>0.14000000000000001</v>
      </c>
      <c r="L20" s="378">
        <v>0.14000000000000001</v>
      </c>
      <c r="M20" s="375">
        <v>0.09</v>
      </c>
      <c r="N20" s="377">
        <v>0.08</v>
      </c>
      <c r="O20" s="377">
        <v>0.08</v>
      </c>
      <c r="P20" s="377">
        <v>7.0000000000000007E-2</v>
      </c>
      <c r="Q20" s="376">
        <v>7.0000000000000007E-2</v>
      </c>
      <c r="R20" s="375">
        <v>0.06</v>
      </c>
      <c r="S20" s="374"/>
    </row>
    <row r="21" spans="1:19" ht="17.25" customHeight="1" x14ac:dyDescent="0.2">
      <c r="A21" s="379" t="s">
        <v>398</v>
      </c>
      <c r="B21" s="375"/>
      <c r="C21" s="376">
        <v>0.63</v>
      </c>
      <c r="D21" s="377">
        <v>0.57999999999999996</v>
      </c>
      <c r="E21" s="377">
        <v>0.53</v>
      </c>
      <c r="F21" s="375">
        <v>0.44</v>
      </c>
      <c r="G21" s="375">
        <v>0.28999999999999998</v>
      </c>
      <c r="H21" s="375">
        <v>0.18</v>
      </c>
      <c r="I21" s="375">
        <v>0.18</v>
      </c>
      <c r="J21" s="378">
        <v>0.15</v>
      </c>
      <c r="K21" s="378">
        <v>0.13</v>
      </c>
      <c r="L21" s="378">
        <v>0.13</v>
      </c>
      <c r="M21" s="375">
        <v>0.08</v>
      </c>
      <c r="N21" s="377">
        <v>7.0000000000000007E-2</v>
      </c>
      <c r="O21" s="377">
        <v>7.0000000000000007E-2</v>
      </c>
      <c r="P21" s="377">
        <v>0.06</v>
      </c>
      <c r="Q21" s="376">
        <v>0.06</v>
      </c>
      <c r="R21" s="375">
        <v>0.05</v>
      </c>
      <c r="S21" s="373"/>
    </row>
    <row r="22" spans="1:19" ht="18" customHeight="1" x14ac:dyDescent="0.2">
      <c r="A22" s="381" t="s">
        <v>409</v>
      </c>
      <c r="B22" s="375"/>
      <c r="C22" s="376">
        <v>0.55000000000000004</v>
      </c>
      <c r="D22" s="377">
        <v>0.5</v>
      </c>
      <c r="E22" s="377">
        <v>0.43</v>
      </c>
      <c r="F22" s="375">
        <v>0.36</v>
      </c>
      <c r="G22" s="375">
        <v>0.23</v>
      </c>
      <c r="H22" s="375">
        <v>0.16</v>
      </c>
      <c r="I22" s="375">
        <v>0.16</v>
      </c>
      <c r="J22" s="378">
        <v>0.14000000000000001</v>
      </c>
      <c r="K22" s="378">
        <v>0.09</v>
      </c>
      <c r="L22" s="378">
        <v>0.09</v>
      </c>
      <c r="M22" s="375">
        <v>0.08</v>
      </c>
      <c r="N22" s="377">
        <v>7.0000000000000007E-2</v>
      </c>
      <c r="O22" s="377">
        <v>0.06</v>
      </c>
      <c r="P22" s="377">
        <v>0.06</v>
      </c>
      <c r="Q22" s="376">
        <v>0.06</v>
      </c>
      <c r="R22" s="375">
        <v>0.03</v>
      </c>
      <c r="S22" s="373"/>
    </row>
    <row r="23" spans="1:19" ht="17.25" customHeight="1" x14ac:dyDescent="0.2">
      <c r="A23" s="381" t="s">
        <v>400</v>
      </c>
      <c r="B23" s="375"/>
      <c r="C23" s="376">
        <v>0.74</v>
      </c>
      <c r="D23" s="377">
        <v>0.67</v>
      </c>
      <c r="E23" s="377">
        <v>0.62</v>
      </c>
      <c r="F23" s="375">
        <v>0.55000000000000004</v>
      </c>
      <c r="G23" s="375">
        <v>0.37</v>
      </c>
      <c r="H23" s="375">
        <v>0.19</v>
      </c>
      <c r="I23" s="375">
        <v>0.2</v>
      </c>
      <c r="J23" s="378">
        <v>0.15</v>
      </c>
      <c r="K23" s="378">
        <v>0.16</v>
      </c>
      <c r="L23" s="378">
        <v>0.17</v>
      </c>
      <c r="M23" s="375">
        <v>0.14000000000000001</v>
      </c>
      <c r="N23" s="377">
        <v>0.13</v>
      </c>
      <c r="O23" s="377">
        <v>0.12</v>
      </c>
      <c r="P23" s="377">
        <v>0.11</v>
      </c>
      <c r="Q23" s="376">
        <v>0.12</v>
      </c>
      <c r="R23" s="375">
        <v>0.11</v>
      </c>
      <c r="S23" s="373"/>
    </row>
    <row r="24" spans="1:19" ht="18" customHeight="1" x14ac:dyDescent="0.2">
      <c r="A24" s="381" t="s">
        <v>401</v>
      </c>
      <c r="B24" s="375"/>
      <c r="C24" s="376">
        <v>0.24</v>
      </c>
      <c r="D24" s="377">
        <v>0.25</v>
      </c>
      <c r="E24" s="377">
        <v>0.23</v>
      </c>
      <c r="F24" s="375">
        <v>0.23</v>
      </c>
      <c r="G24" s="375">
        <v>0.17</v>
      </c>
      <c r="H24" s="375">
        <v>0.11</v>
      </c>
      <c r="I24" s="375">
        <v>0.09</v>
      </c>
      <c r="J24" s="378">
        <v>0.06</v>
      </c>
      <c r="K24" s="378">
        <v>7.0000000000000007E-2</v>
      </c>
      <c r="L24" s="378">
        <v>7.0000000000000007E-2</v>
      </c>
      <c r="M24" s="375">
        <v>7.0000000000000007E-2</v>
      </c>
      <c r="N24" s="377">
        <v>7.0000000000000007E-2</v>
      </c>
      <c r="O24" s="377">
        <v>0.06</v>
      </c>
      <c r="P24" s="377">
        <v>0.05</v>
      </c>
      <c r="Q24" s="376">
        <v>0.06</v>
      </c>
      <c r="R24" s="375">
        <v>0.06</v>
      </c>
      <c r="S24" s="373"/>
    </row>
    <row r="25" spans="1:19" ht="17.25" customHeight="1" x14ac:dyDescent="0.2">
      <c r="A25" s="381" t="s">
        <v>402</v>
      </c>
      <c r="B25" s="375"/>
      <c r="C25" s="376">
        <v>0.84</v>
      </c>
      <c r="D25" s="377">
        <v>0.77</v>
      </c>
      <c r="E25" s="377">
        <v>0.75</v>
      </c>
      <c r="F25" s="375">
        <v>0.56000000000000005</v>
      </c>
      <c r="G25" s="375">
        <v>0.38</v>
      </c>
      <c r="H25" s="375">
        <v>0.27</v>
      </c>
      <c r="I25" s="375">
        <v>0.24</v>
      </c>
      <c r="J25" s="378">
        <v>0.2</v>
      </c>
      <c r="K25" s="378">
        <v>0.2</v>
      </c>
      <c r="L25" s="378">
        <v>0.19</v>
      </c>
      <c r="M25" s="375">
        <v>0.02</v>
      </c>
      <c r="N25" s="377">
        <v>0.02</v>
      </c>
      <c r="O25" s="377">
        <v>0.01</v>
      </c>
      <c r="P25" s="377">
        <v>0.01</v>
      </c>
      <c r="Q25" s="376">
        <v>0.01</v>
      </c>
      <c r="R25" s="375">
        <v>0.01</v>
      </c>
      <c r="S25" s="373"/>
    </row>
    <row r="26" spans="1:19" ht="18" customHeight="1" x14ac:dyDescent="0.2">
      <c r="A26" s="381" t="s">
        <v>403</v>
      </c>
      <c r="B26" s="375"/>
      <c r="C26" s="376">
        <v>0.22</v>
      </c>
      <c r="D26" s="377">
        <v>0.21</v>
      </c>
      <c r="E26" s="377">
        <v>0.21</v>
      </c>
      <c r="F26" s="375">
        <v>0.04</v>
      </c>
      <c r="G26" s="375">
        <v>0.04</v>
      </c>
      <c r="H26" s="375">
        <v>0.02</v>
      </c>
      <c r="I26" s="375">
        <v>0.04</v>
      </c>
      <c r="J26" s="378">
        <v>0.04</v>
      </c>
      <c r="K26" s="378">
        <v>0.05</v>
      </c>
      <c r="L26" s="378">
        <v>0.06</v>
      </c>
      <c r="M26" s="375">
        <v>0.01</v>
      </c>
      <c r="N26" s="377">
        <v>0.01</v>
      </c>
      <c r="O26" s="377">
        <v>0.01</v>
      </c>
      <c r="P26" s="377">
        <v>0.01</v>
      </c>
      <c r="Q26" s="376">
        <v>0.01</v>
      </c>
      <c r="R26" s="375">
        <v>0.01</v>
      </c>
      <c r="S26" s="373"/>
    </row>
    <row r="27" spans="1:19" ht="39" customHeight="1" x14ac:dyDescent="0.25">
      <c r="A27" s="691" t="s">
        <v>410</v>
      </c>
      <c r="B27" s="689"/>
      <c r="C27" s="692">
        <v>0.56000000000000005</v>
      </c>
      <c r="D27" s="690">
        <v>0.53</v>
      </c>
      <c r="E27" s="690">
        <v>0.48</v>
      </c>
      <c r="F27" s="689">
        <v>0.34</v>
      </c>
      <c r="G27" s="689">
        <v>0.26</v>
      </c>
      <c r="H27" s="689">
        <v>0.14000000000000001</v>
      </c>
      <c r="I27" s="689">
        <v>0.13</v>
      </c>
      <c r="J27" s="687">
        <v>0.14000000000000001</v>
      </c>
      <c r="K27" s="687">
        <v>0.14000000000000001</v>
      </c>
      <c r="L27" s="687">
        <v>0.13</v>
      </c>
      <c r="M27" s="689">
        <v>0.13</v>
      </c>
      <c r="N27" s="690">
        <v>0.12</v>
      </c>
      <c r="O27" s="690">
        <v>0.12</v>
      </c>
      <c r="P27" s="690">
        <v>0.12</v>
      </c>
      <c r="Q27" s="692">
        <v>0.11</v>
      </c>
      <c r="R27" s="689">
        <v>0.14000000000000001</v>
      </c>
      <c r="S27" s="380"/>
    </row>
    <row r="28" spans="1:19" ht="29.25" customHeight="1" x14ac:dyDescent="0.25">
      <c r="A28" s="691" t="s">
        <v>405</v>
      </c>
      <c r="B28" s="689"/>
      <c r="C28" s="692">
        <v>0.71</v>
      </c>
      <c r="D28" s="690">
        <v>0.68</v>
      </c>
      <c r="E28" s="690">
        <v>0.66</v>
      </c>
      <c r="F28" s="689">
        <v>0.64</v>
      </c>
      <c r="G28" s="689">
        <v>0.62</v>
      </c>
      <c r="H28" s="689">
        <v>0.6</v>
      </c>
      <c r="I28" s="689">
        <v>0.55000000000000004</v>
      </c>
      <c r="J28" s="687">
        <v>0.51</v>
      </c>
      <c r="K28" s="687">
        <v>0.47</v>
      </c>
      <c r="L28" s="687">
        <v>0.42</v>
      </c>
      <c r="M28" s="689">
        <v>0.38</v>
      </c>
      <c r="N28" s="690">
        <v>0.34</v>
      </c>
      <c r="O28" s="690">
        <v>0.3</v>
      </c>
      <c r="P28" s="690">
        <v>0.25</v>
      </c>
      <c r="Q28" s="692">
        <v>0.19</v>
      </c>
      <c r="R28" s="689">
        <v>0.17</v>
      </c>
      <c r="S28" s="374"/>
    </row>
    <row r="29" spans="1:19" ht="28.5" customHeight="1" x14ac:dyDescent="0.25">
      <c r="A29" s="379" t="s">
        <v>406</v>
      </c>
      <c r="B29" s="375"/>
      <c r="C29" s="376">
        <v>0.61</v>
      </c>
      <c r="D29" s="377">
        <v>0.56000000000000005</v>
      </c>
      <c r="E29" s="377">
        <v>0.47</v>
      </c>
      <c r="F29" s="375">
        <v>0.44</v>
      </c>
      <c r="G29" s="375">
        <v>0.44</v>
      </c>
      <c r="H29" s="375">
        <v>0.43</v>
      </c>
      <c r="I29" s="375">
        <v>0.39</v>
      </c>
      <c r="J29" s="378">
        <v>0.39</v>
      </c>
      <c r="K29" s="378">
        <v>0.39</v>
      </c>
      <c r="L29" s="378">
        <v>0.38</v>
      </c>
      <c r="M29" s="375">
        <v>0.38</v>
      </c>
      <c r="N29" s="377">
        <v>0.38</v>
      </c>
      <c r="O29" s="377">
        <v>0.38</v>
      </c>
      <c r="P29" s="377">
        <v>0.37</v>
      </c>
      <c r="Q29" s="376">
        <v>0.37</v>
      </c>
      <c r="R29" s="375">
        <v>0.37</v>
      </c>
      <c r="S29" s="374"/>
    </row>
    <row r="30" spans="1:19" x14ac:dyDescent="0.2">
      <c r="A30" s="936" t="s">
        <v>411</v>
      </c>
      <c r="B30" s="935"/>
      <c r="C30" s="935"/>
      <c r="D30" s="935"/>
      <c r="E30" s="935"/>
      <c r="F30" s="935"/>
      <c r="G30" s="935"/>
      <c r="H30" s="935"/>
      <c r="I30" s="935"/>
      <c r="J30" s="935"/>
      <c r="K30" s="935"/>
      <c r="L30" s="935"/>
      <c r="M30" s="935"/>
      <c r="N30" s="935"/>
      <c r="O30" s="935"/>
      <c r="P30" s="935"/>
      <c r="Q30" s="935"/>
      <c r="R30" s="935"/>
      <c r="S30" s="935"/>
    </row>
    <row r="31" spans="1:19" x14ac:dyDescent="0.2">
      <c r="A31" s="934" t="s">
        <v>412</v>
      </c>
      <c r="B31" s="935"/>
      <c r="C31" s="935"/>
      <c r="D31" s="935"/>
      <c r="E31" s="935"/>
      <c r="F31" s="935"/>
      <c r="G31" s="935"/>
      <c r="H31" s="935"/>
      <c r="I31" s="935"/>
      <c r="J31" s="935"/>
      <c r="K31" s="935"/>
      <c r="L31" s="935"/>
      <c r="M31" s="935"/>
      <c r="N31" s="935"/>
      <c r="O31" s="935"/>
      <c r="P31" s="935"/>
      <c r="Q31" s="935"/>
      <c r="R31" s="935"/>
      <c r="S31" s="935"/>
    </row>
  </sheetData>
  <mergeCells count="15">
    <mergeCell ref="A14:B14"/>
    <mergeCell ref="A15:B15"/>
    <mergeCell ref="A18:S18"/>
    <mergeCell ref="A31:S31"/>
    <mergeCell ref="A30:S30"/>
    <mergeCell ref="A2:S2"/>
    <mergeCell ref="A5:B5"/>
    <mergeCell ref="A6:B6"/>
    <mergeCell ref="A7:B7"/>
    <mergeCell ref="A13:B13"/>
    <mergeCell ref="A8:B8"/>
    <mergeCell ref="A9:B9"/>
    <mergeCell ref="A10:B10"/>
    <mergeCell ref="A11:B11"/>
    <mergeCell ref="A12:B12"/>
  </mergeCells>
  <hyperlinks>
    <hyperlink ref="A30" r:id="rId1" display="https://www.dcceew.gov.au/climate-change/publications/national-greenhouse-accounts-factors-2023" xr:uid="{7C341C62-40F4-4F90-8E87-32C94D06FCF7}"/>
    <hyperlink ref="A18" location="'Table 1'!A27" display="bookmark3" xr:uid="{49E31982-1BBD-4234-932E-7DE0427431D0}"/>
    <hyperlink ref="A2:S2" r:id="rId2" display="https://www.dcceew.gov.au/climate-change/emissions-reporting/projecting-emissions" xr:uid="{E6AE115A-DF2C-4995-9E6E-E8CC629F2ED1}"/>
    <hyperlink ref="A31" r:id="rId3" display="https://www.dcceew.gov.au/climate-change/publications/national-greenhouse-accounts-factors-2023" xr:uid="{4A62DC98-6300-4026-B8F4-24137011DB8B}"/>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CEBC-C26E-4F43-9170-9CA882D9BEB3}">
  <sheetPr codeName="Sheet14"/>
  <dimension ref="A1:B26"/>
  <sheetViews>
    <sheetView workbookViewId="0">
      <selection activeCell="B29" sqref="B29"/>
    </sheetView>
  </sheetViews>
  <sheetFormatPr defaultRowHeight="15" x14ac:dyDescent="0.25"/>
  <cols>
    <col min="1" max="1" width="10.5703125" customWidth="1"/>
    <col min="2" max="2" width="97.28515625" customWidth="1"/>
  </cols>
  <sheetData>
    <row r="1" spans="1:2" x14ac:dyDescent="0.25">
      <c r="A1" s="116" t="s">
        <v>413</v>
      </c>
      <c r="B1" s="117" t="s">
        <v>414</v>
      </c>
    </row>
    <row r="2" spans="1:2" x14ac:dyDescent="0.25">
      <c r="A2" s="118" t="s">
        <v>27</v>
      </c>
      <c r="B2" s="2" t="s">
        <v>415</v>
      </c>
    </row>
    <row r="3" spans="1:2" x14ac:dyDescent="0.25">
      <c r="A3" s="118" t="s">
        <v>98</v>
      </c>
      <c r="B3" s="119" t="s">
        <v>416</v>
      </c>
    </row>
    <row r="4" spans="1:2" x14ac:dyDescent="0.25">
      <c r="A4" s="120" t="s">
        <v>417</v>
      </c>
      <c r="B4" s="119" t="s">
        <v>418</v>
      </c>
    </row>
    <row r="5" spans="1:2" x14ac:dyDescent="0.25">
      <c r="A5" s="310" t="s">
        <v>419</v>
      </c>
      <c r="B5" s="121" t="s">
        <v>420</v>
      </c>
    </row>
    <row r="6" spans="1:2" x14ac:dyDescent="0.25">
      <c r="A6" s="311" t="s">
        <v>421</v>
      </c>
      <c r="B6" s="122" t="s">
        <v>422</v>
      </c>
    </row>
    <row r="7" spans="1:2" x14ac:dyDescent="0.25">
      <c r="A7" s="310" t="s">
        <v>423</v>
      </c>
      <c r="B7" s="121" t="s">
        <v>424</v>
      </c>
    </row>
    <row r="8" spans="1:2" x14ac:dyDescent="0.25">
      <c r="A8" s="123" t="s">
        <v>425</v>
      </c>
      <c r="B8" s="119" t="s">
        <v>426</v>
      </c>
    </row>
    <row r="9" spans="1:2" x14ac:dyDescent="0.25">
      <c r="A9" s="123" t="s">
        <v>50</v>
      </c>
      <c r="B9" s="2" t="s">
        <v>427</v>
      </c>
    </row>
    <row r="10" spans="1:2" x14ac:dyDescent="0.25">
      <c r="A10" s="123" t="s">
        <v>428</v>
      </c>
      <c r="B10" s="119" t="s">
        <v>429</v>
      </c>
    </row>
    <row r="11" spans="1:2" x14ac:dyDescent="0.25">
      <c r="A11" s="123" t="s">
        <v>430</v>
      </c>
      <c r="B11" s="119" t="s">
        <v>431</v>
      </c>
    </row>
    <row r="12" spans="1:2" x14ac:dyDescent="0.25">
      <c r="A12" s="118" t="s">
        <v>90</v>
      </c>
      <c r="B12" s="2" t="s">
        <v>432</v>
      </c>
    </row>
    <row r="13" spans="1:2" x14ac:dyDescent="0.25">
      <c r="A13" s="123" t="s">
        <v>33</v>
      </c>
      <c r="B13" s="119" t="s">
        <v>433</v>
      </c>
    </row>
    <row r="14" spans="1:2" x14ac:dyDescent="0.25">
      <c r="A14" s="123" t="s">
        <v>40</v>
      </c>
      <c r="B14" s="119" t="s">
        <v>434</v>
      </c>
    </row>
    <row r="15" spans="1:2" x14ac:dyDescent="0.25">
      <c r="A15" s="123" t="s">
        <v>435</v>
      </c>
      <c r="B15" s="25" t="s">
        <v>436</v>
      </c>
    </row>
    <row r="16" spans="1:2" x14ac:dyDescent="0.25">
      <c r="A16" s="123" t="s">
        <v>437</v>
      </c>
      <c r="B16" s="119" t="s">
        <v>438</v>
      </c>
    </row>
    <row r="17" spans="1:2" x14ac:dyDescent="0.25">
      <c r="A17" s="123" t="s">
        <v>439</v>
      </c>
      <c r="B17" s="119" t="s">
        <v>440</v>
      </c>
    </row>
    <row r="18" spans="1:2" x14ac:dyDescent="0.25">
      <c r="A18" s="123" t="s">
        <v>441</v>
      </c>
      <c r="B18" s="119" t="s">
        <v>442</v>
      </c>
    </row>
    <row r="19" spans="1:2" x14ac:dyDescent="0.25">
      <c r="A19" s="123" t="s">
        <v>443</v>
      </c>
      <c r="B19" s="119" t="s">
        <v>444</v>
      </c>
    </row>
    <row r="20" spans="1:2" ht="30" x14ac:dyDescent="0.25">
      <c r="A20" s="123" t="s">
        <v>445</v>
      </c>
      <c r="B20" s="119" t="s">
        <v>446</v>
      </c>
    </row>
    <row r="21" spans="1:2" x14ac:dyDescent="0.25">
      <c r="A21" s="123" t="s">
        <v>447</v>
      </c>
      <c r="B21" s="119" t="s">
        <v>448</v>
      </c>
    </row>
    <row r="22" spans="1:2" x14ac:dyDescent="0.25">
      <c r="A22" s="123" t="s">
        <v>449</v>
      </c>
      <c r="B22" s="124" t="s">
        <v>450</v>
      </c>
    </row>
    <row r="23" spans="1:2" x14ac:dyDescent="0.25">
      <c r="A23" s="123" t="s">
        <v>451</v>
      </c>
      <c r="B23" s="119" t="s">
        <v>452</v>
      </c>
    </row>
    <row r="24" spans="1:2" x14ac:dyDescent="0.25">
      <c r="A24" s="123" t="s">
        <v>55</v>
      </c>
      <c r="B24" s="125" t="s">
        <v>453</v>
      </c>
    </row>
    <row r="25" spans="1:2" x14ac:dyDescent="0.25">
      <c r="A25" s="118" t="s">
        <v>89</v>
      </c>
      <c r="B25" s="2" t="s">
        <v>454</v>
      </c>
    </row>
    <row r="26" spans="1:2" ht="15.75" thickBot="1" x14ac:dyDescent="0.3">
      <c r="A26" s="126" t="s">
        <v>79</v>
      </c>
      <c r="B26" s="32" t="s">
        <v>455</v>
      </c>
    </row>
  </sheetData>
  <sortState xmlns:xlrd2="http://schemas.microsoft.com/office/spreadsheetml/2017/richdata2" ref="A2:B26">
    <sortCondition ref="A1"/>
  </sortState>
  <hyperlinks>
    <hyperlink ref="B24" r:id="rId1" xr:uid="{B0596CEB-B511-4485-BE31-072D254D021F}"/>
    <hyperlink ref="B5" r:id="rId2" xr:uid="{834F369C-2CA0-4221-B10A-3A6B9D431A3B}"/>
    <hyperlink ref="B22" r:id="rId3" xr:uid="{DF26CD6E-5A5E-4D88-ACCD-55DAF28910AA}"/>
    <hyperlink ref="B15" r:id="rId4" xr:uid="{C30730AB-0AFD-44E6-9535-6F15D2CD7605}"/>
    <hyperlink ref="B7" r:id="rId5" xr:uid="{7820335C-424D-4E3D-8192-D40AF8AAB27E}"/>
  </hyperlinks>
  <pageMargins left="0.7" right="0.7" top="0.75" bottom="0.75" header="0.3" footer="0.3"/>
  <headerFooter>
    <oddHeader>&amp;C&amp;"Calibri"&amp;10&amp;KFF0000 OFFICIAL&amp;1#_x000D_</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C621D-0EB9-4208-A57A-9E43478ABDA1}">
  <sheetPr codeName="Sheet6"/>
  <dimension ref="A1:BH91"/>
  <sheetViews>
    <sheetView zoomScaleNormal="100" workbookViewId="0">
      <pane ySplit="3" topLeftCell="A53" activePane="bottomLeft" state="frozen"/>
      <selection pane="bottomLeft" activeCell="G79" sqref="G79"/>
    </sheetView>
  </sheetViews>
  <sheetFormatPr defaultRowHeight="15" x14ac:dyDescent="0.25"/>
  <cols>
    <col min="1" max="1" width="4.28515625" customWidth="1"/>
    <col min="2" max="2" width="52.140625" customWidth="1"/>
    <col min="3" max="3" width="14.28515625" customWidth="1"/>
    <col min="4" max="4" width="12.7109375" customWidth="1"/>
    <col min="5" max="5" width="12.85546875" customWidth="1"/>
    <col min="6" max="6" width="12.7109375" customWidth="1"/>
    <col min="7" max="7" width="71.85546875" customWidth="1"/>
    <col min="8" max="8" width="5.28515625" customWidth="1"/>
    <col min="9" max="9" width="6.140625" customWidth="1"/>
    <col min="10" max="12" width="5.28515625" customWidth="1"/>
    <col min="13" max="13" width="7.5703125" bestFit="1" customWidth="1"/>
    <col min="14" max="16" width="5.28515625" customWidth="1"/>
    <col min="17" max="17" width="7.5703125" customWidth="1"/>
    <col min="18" max="60" width="5.28515625" customWidth="1"/>
  </cols>
  <sheetData>
    <row r="1" spans="1:60" ht="19.5" thickBot="1" x14ac:dyDescent="0.3">
      <c r="G1" s="735" t="s">
        <v>225</v>
      </c>
      <c r="H1" s="341" t="s">
        <v>226</v>
      </c>
    </row>
    <row r="2" spans="1:60" ht="21.75" thickBot="1" x14ac:dyDescent="0.3">
      <c r="A2" s="460" t="s">
        <v>463</v>
      </c>
      <c r="B2" s="91"/>
      <c r="G2" s="736">
        <f>Cashflow!$A$1</f>
        <v>0</v>
      </c>
      <c r="H2" s="319" cm="1">
        <f t="array" ref="H2:BH2">Cashflow!$M$1:$BM$1</f>
        <v>0</v>
      </c>
      <c r="I2" s="319">
        <v>1</v>
      </c>
      <c r="J2" s="319">
        <v>2</v>
      </c>
      <c r="K2" s="319">
        <v>3</v>
      </c>
      <c r="L2" s="319">
        <v>4</v>
      </c>
      <c r="M2" s="319">
        <v>5</v>
      </c>
      <c r="N2" s="319">
        <v>6</v>
      </c>
      <c r="O2" s="319">
        <v>7</v>
      </c>
      <c r="P2" s="319">
        <v>8</v>
      </c>
      <c r="Q2" s="319">
        <v>9</v>
      </c>
      <c r="R2" s="319">
        <v>10</v>
      </c>
      <c r="S2" s="319">
        <v>11</v>
      </c>
      <c r="T2" s="319">
        <v>12</v>
      </c>
      <c r="U2" s="319">
        <v>13</v>
      </c>
      <c r="V2" s="319">
        <v>14</v>
      </c>
      <c r="W2" s="319">
        <v>15</v>
      </c>
      <c r="X2" s="319">
        <v>16</v>
      </c>
      <c r="Y2" s="319">
        <v>17</v>
      </c>
      <c r="Z2" s="319">
        <v>18</v>
      </c>
      <c r="AA2" s="319">
        <v>19</v>
      </c>
      <c r="AB2" s="319">
        <v>20</v>
      </c>
      <c r="AC2" s="319">
        <v>21</v>
      </c>
      <c r="AD2" s="319">
        <v>22</v>
      </c>
      <c r="AE2" s="319">
        <v>23</v>
      </c>
      <c r="AF2" s="319">
        <v>24</v>
      </c>
      <c r="AG2" s="319">
        <v>25</v>
      </c>
      <c r="AH2" s="319">
        <v>26</v>
      </c>
      <c r="AI2" s="319">
        <v>27</v>
      </c>
      <c r="AJ2" s="319">
        <v>28</v>
      </c>
      <c r="AK2" s="319">
        <v>29</v>
      </c>
      <c r="AL2" s="319">
        <v>30</v>
      </c>
      <c r="AM2" s="319">
        <v>31</v>
      </c>
      <c r="AN2" s="319">
        <v>32</v>
      </c>
      <c r="AO2" s="319">
        <v>33</v>
      </c>
      <c r="AP2" s="319">
        <v>34</v>
      </c>
      <c r="AQ2" s="319">
        <v>35</v>
      </c>
      <c r="AR2" s="319">
        <v>36</v>
      </c>
      <c r="AS2" s="319">
        <v>37</v>
      </c>
      <c r="AT2" s="319">
        <v>38</v>
      </c>
      <c r="AU2" s="319">
        <v>39</v>
      </c>
      <c r="AV2" s="319">
        <v>40</v>
      </c>
      <c r="AW2" s="319">
        <v>41</v>
      </c>
      <c r="AX2" s="319">
        <v>42</v>
      </c>
      <c r="AY2" s="319">
        <v>43</v>
      </c>
      <c r="AZ2" s="319">
        <v>44</v>
      </c>
      <c r="BA2" s="319">
        <v>45</v>
      </c>
      <c r="BB2" s="319">
        <v>46</v>
      </c>
      <c r="BC2" s="319">
        <v>47</v>
      </c>
      <c r="BD2" s="319">
        <v>48</v>
      </c>
      <c r="BE2" s="319">
        <v>49</v>
      </c>
      <c r="BF2" s="319">
        <v>50</v>
      </c>
      <c r="BG2" s="319">
        <v>51</v>
      </c>
      <c r="BH2" s="319">
        <v>52</v>
      </c>
    </row>
    <row r="3" spans="1:60" ht="38.25" thickBot="1" x14ac:dyDescent="0.3">
      <c r="A3" s="849" t="s">
        <v>157</v>
      </c>
      <c r="B3" s="850"/>
      <c r="C3" s="547" t="s">
        <v>22</v>
      </c>
      <c r="D3" s="548" t="s">
        <v>227</v>
      </c>
      <c r="E3" s="548" t="s">
        <v>228</v>
      </c>
      <c r="F3" s="548" t="s">
        <v>229</v>
      </c>
      <c r="G3" s="549" t="s">
        <v>162</v>
      </c>
      <c r="H3" s="546" cm="1">
        <f t="array" ref="H3:BH3">Cashflow!$M$2:$BM$2</f>
        <v>46568</v>
      </c>
      <c r="I3" s="333">
        <v>46934</v>
      </c>
      <c r="J3" s="333">
        <v>47299</v>
      </c>
      <c r="K3" s="333">
        <v>47664</v>
      </c>
      <c r="L3" s="333">
        <v>48029</v>
      </c>
      <c r="M3" s="333">
        <v>48395</v>
      </c>
      <c r="N3" s="333">
        <v>48760</v>
      </c>
      <c r="O3" s="333">
        <v>49125</v>
      </c>
      <c r="P3" s="333">
        <v>49490</v>
      </c>
      <c r="Q3" s="333">
        <v>49856</v>
      </c>
      <c r="R3" s="333">
        <v>50221</v>
      </c>
      <c r="S3" s="333">
        <v>50586</v>
      </c>
      <c r="T3" s="333">
        <v>50951</v>
      </c>
      <c r="U3" s="333">
        <v>51317</v>
      </c>
      <c r="V3" s="333">
        <v>51682</v>
      </c>
      <c r="W3" s="333">
        <v>52047</v>
      </c>
      <c r="X3" s="333">
        <v>52412</v>
      </c>
      <c r="Y3" s="333">
        <v>52778</v>
      </c>
      <c r="Z3" s="333">
        <v>53143</v>
      </c>
      <c r="AA3" s="333">
        <v>53508</v>
      </c>
      <c r="AB3" s="333">
        <v>53873</v>
      </c>
      <c r="AC3" s="333">
        <v>54239</v>
      </c>
      <c r="AD3" s="333">
        <v>54604</v>
      </c>
      <c r="AE3" s="333">
        <v>54969</v>
      </c>
      <c r="AF3" s="333">
        <v>55334</v>
      </c>
      <c r="AG3" s="333">
        <v>55700</v>
      </c>
      <c r="AH3" s="333">
        <v>56065</v>
      </c>
      <c r="AI3" s="333">
        <v>56430</v>
      </c>
      <c r="AJ3" s="333">
        <v>56795</v>
      </c>
      <c r="AK3" s="333">
        <v>57161</v>
      </c>
      <c r="AL3" s="333">
        <v>57526</v>
      </c>
      <c r="AM3" s="333">
        <v>57891</v>
      </c>
      <c r="AN3" s="333">
        <v>58256</v>
      </c>
      <c r="AO3" s="333">
        <v>58622</v>
      </c>
      <c r="AP3" s="333">
        <v>58987</v>
      </c>
      <c r="AQ3" s="333">
        <v>59352</v>
      </c>
      <c r="AR3" s="333">
        <v>59717</v>
      </c>
      <c r="AS3" s="333">
        <v>60083</v>
      </c>
      <c r="AT3" s="333">
        <v>60448</v>
      </c>
      <c r="AU3" s="333">
        <v>60813</v>
      </c>
      <c r="AV3" s="333">
        <v>61178</v>
      </c>
      <c r="AW3" s="333">
        <v>61544</v>
      </c>
      <c r="AX3" s="333">
        <v>61909</v>
      </c>
      <c r="AY3" s="333">
        <v>62274</v>
      </c>
      <c r="AZ3" s="333">
        <v>62639</v>
      </c>
      <c r="BA3" s="333">
        <v>63005</v>
      </c>
      <c r="BB3" s="333">
        <v>63370</v>
      </c>
      <c r="BC3" s="333">
        <v>63735</v>
      </c>
      <c r="BD3" s="333">
        <v>64100</v>
      </c>
      <c r="BE3" s="333">
        <v>64466</v>
      </c>
      <c r="BF3" s="333">
        <v>64831</v>
      </c>
      <c r="BG3" s="333">
        <v>65196</v>
      </c>
      <c r="BH3" s="333">
        <v>65561</v>
      </c>
    </row>
    <row r="4" spans="1:60" ht="18.75" x14ac:dyDescent="0.25">
      <c r="A4" s="134" t="s">
        <v>230</v>
      </c>
      <c r="B4" s="647"/>
      <c r="C4" s="648"/>
      <c r="D4" s="649"/>
      <c r="E4" s="649"/>
      <c r="F4" s="649"/>
      <c r="G4" s="650"/>
      <c r="H4" s="171"/>
      <c r="I4" s="334"/>
      <c r="J4" s="334"/>
      <c r="K4" s="334"/>
      <c r="L4" s="334"/>
      <c r="M4" s="334"/>
      <c r="N4" s="334"/>
      <c r="O4" s="334"/>
      <c r="P4" s="334"/>
      <c r="Q4" s="334"/>
      <c r="R4" s="334"/>
      <c r="S4" s="334"/>
      <c r="T4" s="334"/>
      <c r="U4" s="334"/>
      <c r="V4" s="334"/>
      <c r="W4" s="334"/>
      <c r="X4" s="334"/>
      <c r="Y4" s="334"/>
      <c r="Z4" s="334"/>
      <c r="AA4" s="334"/>
      <c r="AB4" s="334"/>
      <c r="AC4" s="334"/>
      <c r="AD4" s="334"/>
      <c r="AE4" s="334"/>
      <c r="AF4" s="334"/>
      <c r="AG4" s="334"/>
      <c r="AH4" s="334"/>
      <c r="AI4" s="334"/>
      <c r="AJ4" s="334"/>
      <c r="AK4" s="334"/>
      <c r="AL4" s="334"/>
      <c r="AM4" s="334"/>
      <c r="AN4" s="334"/>
      <c r="AO4" s="334"/>
      <c r="AP4" s="334"/>
      <c r="AQ4" s="334"/>
      <c r="AR4" s="334"/>
      <c r="AS4" s="334"/>
      <c r="AT4" s="334"/>
      <c r="AU4" s="334"/>
      <c r="AV4" s="334"/>
      <c r="AW4" s="334"/>
      <c r="AX4" s="334"/>
      <c r="AY4" s="334"/>
      <c r="AZ4" s="334"/>
      <c r="BA4" s="334"/>
      <c r="BB4" s="334"/>
      <c r="BC4" s="334"/>
      <c r="BD4" s="334"/>
      <c r="BE4" s="334"/>
      <c r="BF4" s="334"/>
      <c r="BG4" s="334"/>
      <c r="BH4" s="335"/>
    </row>
    <row r="5" spans="1:60" ht="15" customHeight="1" x14ac:dyDescent="0.25">
      <c r="A5" s="462"/>
      <c r="B5" s="598" t="str">
        <f>"Investment threshold/hurdle rate (WACC = "&amp;TEXT(Funding!D20,"#0.00%"&amp;")")</f>
        <v>Investment threshold/hurdle rate (WACC = 7.75%)</v>
      </c>
      <c r="C5" s="96" t="s">
        <v>62</v>
      </c>
      <c r="D5" s="645">
        <v>7.7499999999999999E-2</v>
      </c>
      <c r="E5" s="15"/>
      <c r="F5" s="646" cm="1">
        <f t="array" ref="F5">IF(H5&lt;&gt;"", INDEX(H5:BH5, $G$2+1), IF(E5="", D5, E5))</f>
        <v>7.7499999999999999E-2</v>
      </c>
      <c r="G5" s="615" t="s">
        <v>231</v>
      </c>
      <c r="H5" s="170"/>
      <c r="I5" s="331"/>
      <c r="J5" s="331"/>
      <c r="K5" s="331"/>
      <c r="L5" s="331"/>
      <c r="M5" s="331"/>
      <c r="N5" s="331"/>
      <c r="O5" s="331"/>
      <c r="P5" s="331"/>
      <c r="Q5" s="331"/>
      <c r="R5" s="331"/>
      <c r="S5" s="331"/>
      <c r="T5" s="331"/>
      <c r="U5" s="331"/>
      <c r="V5" s="331"/>
      <c r="W5" s="331"/>
      <c r="X5" s="331"/>
      <c r="Y5" s="331"/>
      <c r="Z5" s="331"/>
      <c r="AA5" s="331"/>
      <c r="AB5" s="331"/>
      <c r="AC5" s="331"/>
      <c r="AD5" s="331"/>
      <c r="AE5" s="331"/>
      <c r="AF5" s="331"/>
      <c r="AG5" s="331"/>
      <c r="AH5" s="331"/>
      <c r="AI5" s="331"/>
      <c r="AJ5" s="331"/>
      <c r="AK5" s="331"/>
      <c r="AL5" s="331"/>
      <c r="AM5" s="331"/>
      <c r="AN5" s="331"/>
      <c r="AO5" s="331"/>
      <c r="AP5" s="331"/>
      <c r="AQ5" s="331"/>
      <c r="AR5" s="331"/>
      <c r="AS5" s="331"/>
      <c r="AT5" s="331"/>
      <c r="AU5" s="331"/>
      <c r="AV5" s="331"/>
      <c r="AW5" s="331"/>
      <c r="AX5" s="331"/>
      <c r="AY5" s="331"/>
      <c r="AZ5" s="331"/>
      <c r="BA5" s="331"/>
      <c r="BB5" s="331"/>
      <c r="BC5" s="331"/>
      <c r="BD5" s="331"/>
      <c r="BE5" s="331"/>
      <c r="BF5" s="331"/>
      <c r="BG5" s="331"/>
      <c r="BH5" s="336"/>
    </row>
    <row r="6" spans="1:60" x14ac:dyDescent="0.25">
      <c r="A6" s="462"/>
      <c r="B6" s="598" t="str">
        <f>"Discount rate for NPV (WACC = "&amp;TEXT(Funding!D20,"#0.00%"&amp;")")</f>
        <v>Discount rate for NPV (WACC = 7.75%)</v>
      </c>
      <c r="C6" s="96" t="s">
        <v>62</v>
      </c>
      <c r="D6" s="247">
        <f>D5</f>
        <v>7.7499999999999999E-2</v>
      </c>
      <c r="E6" s="15"/>
      <c r="F6" s="10" cm="1">
        <f t="array" ref="F6">IF(H6&lt;&gt;"", INDEX(H6:BH6, $G$2+1), IF(E6="", D6, E6))</f>
        <v>7.7499999999999999E-2</v>
      </c>
      <c r="G6" s="614" t="s">
        <v>232</v>
      </c>
      <c r="H6" s="170"/>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331"/>
      <c r="AY6" s="331"/>
      <c r="AZ6" s="331"/>
      <c r="BA6" s="331"/>
      <c r="BB6" s="331"/>
      <c r="BC6" s="331"/>
      <c r="BD6" s="331"/>
      <c r="BE6" s="331"/>
      <c r="BF6" s="331"/>
      <c r="BG6" s="331"/>
      <c r="BH6" s="336"/>
    </row>
    <row r="7" spans="1:60" x14ac:dyDescent="0.25">
      <c r="A7" s="462"/>
      <c r="B7" s="591" t="s">
        <v>233</v>
      </c>
      <c r="C7" s="96" t="s">
        <v>27</v>
      </c>
      <c r="D7" s="192">
        <f>Funding!B5</f>
        <v>3500000</v>
      </c>
      <c r="E7" s="130"/>
      <c r="F7" s="30" cm="1">
        <f t="array" ref="F7">IF(H7&lt;&gt;"", INDEX(H7:BH7, $G$2+1), IF(E7="", D7, E7))</f>
        <v>3500000</v>
      </c>
      <c r="G7" s="615" t="s">
        <v>234</v>
      </c>
      <c r="H7" s="170"/>
      <c r="I7" s="331"/>
      <c r="J7" s="331"/>
      <c r="K7" s="331"/>
      <c r="L7" s="331"/>
      <c r="M7" s="331"/>
      <c r="N7" s="331"/>
      <c r="O7" s="331"/>
      <c r="P7" s="331"/>
      <c r="Q7" s="331"/>
      <c r="R7" s="331"/>
      <c r="S7" s="331"/>
      <c r="T7" s="331"/>
      <c r="U7" s="331"/>
      <c r="V7" s="331"/>
      <c r="W7" s="331"/>
      <c r="X7" s="331"/>
      <c r="Y7" s="331"/>
      <c r="Z7" s="331"/>
      <c r="AA7" s="331"/>
      <c r="AB7" s="331"/>
      <c r="AC7" s="331"/>
      <c r="AD7" s="331"/>
      <c r="AE7" s="331"/>
      <c r="AF7" s="331"/>
      <c r="AG7" s="331"/>
      <c r="AH7" s="331"/>
      <c r="AI7" s="331"/>
      <c r="AJ7" s="331"/>
      <c r="AK7" s="331"/>
      <c r="AL7" s="331"/>
      <c r="AM7" s="331"/>
      <c r="AN7" s="331"/>
      <c r="AO7" s="331"/>
      <c r="AP7" s="331"/>
      <c r="AQ7" s="331"/>
      <c r="AR7" s="331"/>
      <c r="AS7" s="331"/>
      <c r="AT7" s="331"/>
      <c r="AU7" s="331"/>
      <c r="AV7" s="331"/>
      <c r="AW7" s="331"/>
      <c r="AX7" s="331"/>
      <c r="AY7" s="331"/>
      <c r="AZ7" s="331"/>
      <c r="BA7" s="331"/>
      <c r="BB7" s="331"/>
      <c r="BC7" s="331"/>
      <c r="BD7" s="331"/>
      <c r="BE7" s="331"/>
      <c r="BF7" s="331"/>
      <c r="BG7" s="331"/>
      <c r="BH7" s="336"/>
    </row>
    <row r="8" spans="1:60" x14ac:dyDescent="0.25">
      <c r="A8" s="462"/>
      <c r="B8" s="599" t="s">
        <v>235</v>
      </c>
      <c r="C8" s="183" t="s">
        <v>62</v>
      </c>
      <c r="D8" s="5">
        <v>0.1</v>
      </c>
      <c r="E8" s="5"/>
      <c r="F8" s="359" cm="1">
        <f t="array" ref="F8">IF(H8&lt;&gt;"", INDEX(H8:BH8, $G$2+1), IF(E8="", D8, E8))</f>
        <v>0.1</v>
      </c>
      <c r="G8" s="616" t="s">
        <v>236</v>
      </c>
      <c r="H8" s="170"/>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331"/>
      <c r="AK8" s="331"/>
      <c r="AL8" s="331"/>
      <c r="AM8" s="331"/>
      <c r="AN8" s="331"/>
      <c r="AO8" s="331"/>
      <c r="AP8" s="331"/>
      <c r="AQ8" s="331"/>
      <c r="AR8" s="331"/>
      <c r="AS8" s="331"/>
      <c r="AT8" s="331"/>
      <c r="AU8" s="331"/>
      <c r="AV8" s="331"/>
      <c r="AW8" s="331"/>
      <c r="AX8" s="331"/>
      <c r="AY8" s="331"/>
      <c r="AZ8" s="331"/>
      <c r="BA8" s="331"/>
      <c r="BB8" s="331"/>
      <c r="BC8" s="331"/>
      <c r="BD8" s="331"/>
      <c r="BE8" s="331"/>
      <c r="BF8" s="331"/>
      <c r="BG8" s="331"/>
      <c r="BH8" s="336"/>
    </row>
    <row r="9" spans="1:60" x14ac:dyDescent="0.25">
      <c r="A9" s="462"/>
      <c r="B9" s="600" t="s">
        <v>237</v>
      </c>
      <c r="C9" s="182"/>
      <c r="D9" s="74">
        <v>46296</v>
      </c>
      <c r="E9" s="74"/>
      <c r="F9" s="360" cm="1">
        <f t="array" ref="F9">IF(H9&lt;&gt;"", INDEX(H9:BH9, $G$2+1), IF(E9="", D9, E9))</f>
        <v>46296</v>
      </c>
      <c r="G9" s="615" t="s">
        <v>238</v>
      </c>
      <c r="H9" s="170"/>
      <c r="I9" s="331"/>
      <c r="J9" s="331"/>
      <c r="K9" s="331"/>
      <c r="L9" s="331"/>
      <c r="M9" s="331"/>
      <c r="N9" s="331"/>
      <c r="O9" s="331"/>
      <c r="P9" s="331"/>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331"/>
      <c r="AY9" s="331"/>
      <c r="AZ9" s="331"/>
      <c r="BA9" s="331"/>
      <c r="BB9" s="331"/>
      <c r="BC9" s="331"/>
      <c r="BD9" s="331"/>
      <c r="BE9" s="331"/>
      <c r="BF9" s="331"/>
      <c r="BG9" s="331"/>
      <c r="BH9" s="336"/>
    </row>
    <row r="10" spans="1:60" x14ac:dyDescent="0.25">
      <c r="A10" s="462"/>
      <c r="B10" s="599" t="s">
        <v>239</v>
      </c>
      <c r="C10" s="248">
        <f>DATE(YEAR(D9),F10,1)</f>
        <v>46204</v>
      </c>
      <c r="D10" s="6">
        <v>7</v>
      </c>
      <c r="E10" s="6"/>
      <c r="F10" s="8" cm="1">
        <f t="array" ref="F10">IF(H10&lt;&gt;"", INDEX(H10:BH10, $G$2+1), IF(E10="", D10, E10))</f>
        <v>7</v>
      </c>
      <c r="G10" s="616" t="s">
        <v>240</v>
      </c>
      <c r="H10" s="170"/>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6"/>
    </row>
    <row r="11" spans="1:60" ht="15" customHeight="1" x14ac:dyDescent="0.25">
      <c r="A11" s="462"/>
      <c r="B11" s="601" t="s">
        <v>166</v>
      </c>
      <c r="C11" s="351" t="s">
        <v>62</v>
      </c>
      <c r="D11" s="323">
        <v>2.5000000000000001E-2</v>
      </c>
      <c r="E11" s="322"/>
      <c r="F11" s="361" cm="1">
        <f t="array" ref="F11">IF(H11&lt;&gt;"", INDEX(H11:BH11, $G$2+1), IF(E11="", D11, E11))</f>
        <v>2.5000000000000001E-2</v>
      </c>
      <c r="G11" s="617" t="s">
        <v>241</v>
      </c>
      <c r="H11" s="550"/>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5"/>
    </row>
    <row r="12" spans="1:60" ht="30" x14ac:dyDescent="0.25">
      <c r="A12" s="462"/>
      <c r="B12" s="600" t="s">
        <v>242</v>
      </c>
      <c r="C12" s="183" t="s">
        <v>205</v>
      </c>
      <c r="D12" s="6">
        <v>20</v>
      </c>
      <c r="E12" s="6"/>
      <c r="F12" s="8" cm="1">
        <f t="array" ref="F12">IF(H12&lt;&gt;"", INDEX(H12:BH12, $G$2+1), IF(E12="", D12, E12))</f>
        <v>20</v>
      </c>
      <c r="G12" s="615" t="s">
        <v>243</v>
      </c>
      <c r="H12" s="170"/>
      <c r="I12" s="331"/>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6"/>
    </row>
    <row r="13" spans="1:60" x14ac:dyDescent="0.25">
      <c r="A13" s="462"/>
      <c r="B13" s="599" t="s">
        <v>244</v>
      </c>
      <c r="C13" s="183" t="s">
        <v>245</v>
      </c>
      <c r="D13" s="332">
        <v>0.53</v>
      </c>
      <c r="E13" s="94"/>
      <c r="F13" s="362" cm="1">
        <f t="array" ref="F13">IF(H13&lt;&gt;"", INDEX(H13:BH13, $G$2+1), IF(E13="", D13, E13))</f>
        <v>0.53</v>
      </c>
      <c r="G13" s="618" t="s">
        <v>246</v>
      </c>
      <c r="H13" s="170"/>
      <c r="I13" s="331"/>
      <c r="J13" s="331"/>
      <c r="K13" s="331"/>
      <c r="L13" s="331"/>
      <c r="M13" s="331"/>
      <c r="N13" s="331"/>
      <c r="O13" s="331"/>
      <c r="P13" s="331"/>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6"/>
    </row>
    <row r="14" spans="1:60" x14ac:dyDescent="0.25">
      <c r="A14" s="462"/>
      <c r="B14" s="599" t="s">
        <v>247</v>
      </c>
      <c r="C14" s="183" t="s">
        <v>245</v>
      </c>
      <c r="D14" s="332">
        <v>0.56259999999999999</v>
      </c>
      <c r="E14" s="332"/>
      <c r="F14" s="362" cm="1">
        <f t="array" ref="F14">IF(H14&lt;&gt;"", INDEX(H14:BH14, $G$2+1), IF(E14="", D14, E14))</f>
        <v>0.66</v>
      </c>
      <c r="G14" s="618" t="s">
        <v>248</v>
      </c>
      <c r="H14" s="162">
        <f>_xlfn.XLOOKUP(YEAR(H$3),'Grid emissions'!$C$19:$R$19,'Grid emissions'!$C$28:$R$28)</f>
        <v>0.66</v>
      </c>
      <c r="I14" s="162">
        <f>_xlfn.XLOOKUP(YEAR(I$3),'Grid emissions'!$C$19:$R$19,'Grid emissions'!$C$28:$R$28)</f>
        <v>0.64</v>
      </c>
      <c r="J14" s="162">
        <f>_xlfn.XLOOKUP(YEAR(J$3),'Grid emissions'!$C$19:$R$19,'Grid emissions'!$C$28:$R$28)</f>
        <v>0.62</v>
      </c>
      <c r="K14" s="162">
        <f>_xlfn.XLOOKUP(YEAR(K$3),'Grid emissions'!$C$19:$R$19,'Grid emissions'!$C$28:$R$28)</f>
        <v>0.6</v>
      </c>
      <c r="L14" s="162">
        <f>_xlfn.XLOOKUP(YEAR(L$3),'Grid emissions'!$C$19:$R$19,'Grid emissions'!$C$28:$R$28)</f>
        <v>0.55000000000000004</v>
      </c>
      <c r="M14" s="162">
        <f>_xlfn.XLOOKUP(YEAR(M$3),'Grid emissions'!$C$19:$R$19,'Grid emissions'!$C$28:$R$28)</f>
        <v>0.51</v>
      </c>
      <c r="N14" s="162">
        <f>_xlfn.XLOOKUP(YEAR(N$3),'Grid emissions'!$C$19:$R$19,'Grid emissions'!$C$28:$R$28)</f>
        <v>0.47</v>
      </c>
      <c r="O14" s="162">
        <f>_xlfn.XLOOKUP(YEAR(O$3),'Grid emissions'!$C$19:$R$19,'Grid emissions'!$C$28:$R$28)</f>
        <v>0.42</v>
      </c>
      <c r="P14" s="162">
        <f>_xlfn.XLOOKUP(YEAR(P$3),'Grid emissions'!$C$19:$R$19,'Grid emissions'!$C$28:$R$28)</f>
        <v>0.38</v>
      </c>
      <c r="Q14" s="162">
        <f>_xlfn.XLOOKUP(YEAR(Q$3),'Grid emissions'!$C$19:$R$19,'Grid emissions'!$C$28:$R$28)</f>
        <v>0.34</v>
      </c>
      <c r="R14" s="162">
        <f>_xlfn.XLOOKUP(YEAR(R$3),'Grid emissions'!$C$19:$R$19,'Grid emissions'!$C$28:$R$28)</f>
        <v>0.3</v>
      </c>
      <c r="S14" s="162">
        <f>_xlfn.XLOOKUP(YEAR(S$3),'Grid emissions'!$C$19:$R$19,'Grid emissions'!$C$28:$R$28)</f>
        <v>0.25</v>
      </c>
      <c r="T14" s="162">
        <f>_xlfn.XLOOKUP(YEAR(T$3),'Grid emissions'!$C$19:$R$19,'Grid emissions'!$C$28:$R$28)</f>
        <v>0.19</v>
      </c>
      <c r="U14" s="162">
        <f>_xlfn.XLOOKUP(YEAR(U$3),'Grid emissions'!$C$19:$R$19,'Grid emissions'!$C$28:$R$28)</f>
        <v>0.17</v>
      </c>
      <c r="V14" s="162">
        <f>$U14*(2050-YEAR(V$3))/10</f>
        <v>0.153</v>
      </c>
      <c r="W14" s="162">
        <f t="shared" ref="W14:AE16" si="0">(2050-YEAR(W$3))/10*$U14</f>
        <v>0.13600000000000001</v>
      </c>
      <c r="X14" s="162">
        <f t="shared" si="0"/>
        <v>0.11899999999999999</v>
      </c>
      <c r="Y14" s="162">
        <f t="shared" si="0"/>
        <v>0.10200000000000001</v>
      </c>
      <c r="Z14" s="162">
        <f t="shared" si="0"/>
        <v>8.5000000000000006E-2</v>
      </c>
      <c r="AA14" s="162">
        <f t="shared" si="0"/>
        <v>6.8000000000000005E-2</v>
      </c>
      <c r="AB14" s="162">
        <f t="shared" si="0"/>
        <v>5.1000000000000004E-2</v>
      </c>
      <c r="AC14" s="162">
        <f t="shared" si="0"/>
        <v>3.4000000000000002E-2</v>
      </c>
      <c r="AD14" s="162">
        <f t="shared" si="0"/>
        <v>1.7000000000000001E-2</v>
      </c>
      <c r="AE14" s="162">
        <f t="shared" si="0"/>
        <v>0</v>
      </c>
      <c r="AF14" s="162"/>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28"/>
    </row>
    <row r="15" spans="1:60" x14ac:dyDescent="0.25">
      <c r="A15" s="462"/>
      <c r="B15" s="599" t="s">
        <v>249</v>
      </c>
      <c r="C15" s="183" t="s">
        <v>245</v>
      </c>
      <c r="D15" s="332">
        <v>0.49</v>
      </c>
      <c r="E15" s="94"/>
      <c r="F15" s="362" cm="1">
        <f t="array" ref="F15">IF(H15&lt;&gt;"", INDEX(H15:BH15, $G$2+1), IF(E15="", D15, E15))</f>
        <v>0.49</v>
      </c>
      <c r="G15" s="618" t="s">
        <v>246</v>
      </c>
      <c r="H15" s="170"/>
      <c r="I15" s="170"/>
      <c r="J15" s="170"/>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1"/>
      <c r="BF15" s="331"/>
      <c r="BG15" s="331"/>
      <c r="BH15" s="336"/>
    </row>
    <row r="16" spans="1:60" x14ac:dyDescent="0.25">
      <c r="A16" s="462"/>
      <c r="B16" s="602" t="s">
        <v>250</v>
      </c>
      <c r="C16" s="349" t="s">
        <v>245</v>
      </c>
      <c r="D16" s="337">
        <v>0.49</v>
      </c>
      <c r="E16" s="337"/>
      <c r="F16" s="363" cm="1">
        <f t="array" ref="F16">IF(H16&lt;&gt;"", INDEX(H16:BH16, $G$2+1), IF(E16="", D16, E16))</f>
        <v>0.48</v>
      </c>
      <c r="G16" s="619" t="s">
        <v>248</v>
      </c>
      <c r="H16" s="162">
        <f>_xlfn.XLOOKUP(YEAR(H$3),'Grid emissions'!$C$19:$R$19,'Grid emissions'!$C$27:$R$27)</f>
        <v>0.48</v>
      </c>
      <c r="I16" s="162">
        <f>_xlfn.XLOOKUP(YEAR(I$3),'Grid emissions'!$C$19:$R$19,'Grid emissions'!$C$27:$R$27)</f>
        <v>0.34</v>
      </c>
      <c r="J16" s="162">
        <f>_xlfn.XLOOKUP(YEAR(J$3),'Grid emissions'!$C$19:$R$19,'Grid emissions'!$C$27:$R$27)</f>
        <v>0.26</v>
      </c>
      <c r="K16" s="162">
        <f>_xlfn.XLOOKUP(YEAR(K$3),'Grid emissions'!$C$19:$R$19,'Grid emissions'!$C$27:$R$27)</f>
        <v>0.14000000000000001</v>
      </c>
      <c r="L16" s="162">
        <f>_xlfn.XLOOKUP(YEAR(L$3),'Grid emissions'!$C$19:$R$19,'Grid emissions'!$C$27:$R$27)</f>
        <v>0.13</v>
      </c>
      <c r="M16" s="162">
        <f>_xlfn.XLOOKUP(YEAR(M$3),'Grid emissions'!$C$19:$R$19,'Grid emissions'!$C$27:$R$27)</f>
        <v>0.14000000000000001</v>
      </c>
      <c r="N16" s="162">
        <f>_xlfn.XLOOKUP(YEAR(N$3),'Grid emissions'!$C$19:$R$19,'Grid emissions'!$C$27:$R$27)</f>
        <v>0.14000000000000001</v>
      </c>
      <c r="O16" s="162">
        <f>_xlfn.XLOOKUP(YEAR(O$3),'Grid emissions'!$C$19:$R$19,'Grid emissions'!$C$27:$R$27)</f>
        <v>0.13</v>
      </c>
      <c r="P16" s="162">
        <f>_xlfn.XLOOKUP(YEAR(P$3),'Grid emissions'!$C$19:$R$19,'Grid emissions'!$C$27:$R$27)</f>
        <v>0.13</v>
      </c>
      <c r="Q16" s="162">
        <f>_xlfn.XLOOKUP(YEAR(Q$3),'Grid emissions'!$C$19:$R$19,'Grid emissions'!$C$27:$R$27)</f>
        <v>0.12</v>
      </c>
      <c r="R16" s="162">
        <f>_xlfn.XLOOKUP(YEAR(R$3),'Grid emissions'!$C$19:$R$19,'Grid emissions'!$C$27:$R$27)</f>
        <v>0.12</v>
      </c>
      <c r="S16" s="162">
        <f>_xlfn.XLOOKUP(YEAR(S$3),'Grid emissions'!$C$19:$R$19,'Grid emissions'!$C$27:$R$27)</f>
        <v>0.12</v>
      </c>
      <c r="T16" s="162">
        <f>_xlfn.XLOOKUP(YEAR(T$3),'Grid emissions'!$C$19:$R$19,'Grid emissions'!$C$27:$R$27)</f>
        <v>0.11</v>
      </c>
      <c r="U16" s="162">
        <f>_xlfn.XLOOKUP(YEAR(U$3),'Grid emissions'!$C$19:$R$19,'Grid emissions'!$C$27:$R$27)</f>
        <v>0.14000000000000001</v>
      </c>
      <c r="V16" s="162">
        <f>$U16*(2050-YEAR(V$3))/10</f>
        <v>0.12600000000000003</v>
      </c>
      <c r="W16" s="162">
        <f t="shared" si="0"/>
        <v>0.11200000000000002</v>
      </c>
      <c r="X16" s="162">
        <f t="shared" si="0"/>
        <v>9.8000000000000004E-2</v>
      </c>
      <c r="Y16" s="162">
        <f t="shared" si="0"/>
        <v>8.4000000000000005E-2</v>
      </c>
      <c r="Z16" s="162">
        <f t="shared" si="0"/>
        <v>7.0000000000000007E-2</v>
      </c>
      <c r="AA16" s="162">
        <f t="shared" si="0"/>
        <v>5.6000000000000008E-2</v>
      </c>
      <c r="AB16" s="162">
        <f t="shared" si="0"/>
        <v>4.2000000000000003E-2</v>
      </c>
      <c r="AC16" s="162">
        <f t="shared" si="0"/>
        <v>2.8000000000000004E-2</v>
      </c>
      <c r="AD16" s="162">
        <f t="shared" si="0"/>
        <v>1.4000000000000002E-2</v>
      </c>
      <c r="AE16" s="162">
        <f t="shared" si="0"/>
        <v>0</v>
      </c>
      <c r="AF16" s="551"/>
      <c r="AG16" s="342"/>
      <c r="AH16" s="342"/>
      <c r="AI16" s="342"/>
      <c r="AJ16" s="342"/>
      <c r="AK16" s="342"/>
      <c r="AL16" s="342"/>
      <c r="AM16" s="342"/>
      <c r="AN16" s="342"/>
      <c r="AO16" s="342"/>
      <c r="AP16" s="342"/>
      <c r="AQ16" s="342"/>
      <c r="AR16" s="342"/>
      <c r="AS16" s="342"/>
      <c r="AT16" s="342"/>
      <c r="AU16" s="342"/>
      <c r="AV16" s="342"/>
      <c r="AW16" s="342"/>
      <c r="AX16" s="342"/>
      <c r="AY16" s="342"/>
      <c r="AZ16" s="342"/>
      <c r="BA16" s="342"/>
      <c r="BB16" s="342"/>
      <c r="BC16" s="342"/>
      <c r="BD16" s="342"/>
      <c r="BE16" s="342"/>
      <c r="BF16" s="342"/>
      <c r="BG16" s="342"/>
      <c r="BH16" s="343"/>
    </row>
    <row r="17" spans="1:60" x14ac:dyDescent="0.25">
      <c r="A17" s="553" t="s">
        <v>506</v>
      </c>
      <c r="B17" s="634"/>
      <c r="C17" s="635"/>
      <c r="D17" s="636"/>
      <c r="E17" s="636"/>
      <c r="F17" s="636"/>
      <c r="G17" s="637"/>
      <c r="H17" s="170"/>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c r="AI17" s="331"/>
      <c r="AJ17" s="331"/>
      <c r="AK17" s="331"/>
      <c r="AL17" s="331"/>
      <c r="AM17" s="331"/>
      <c r="AN17" s="331"/>
      <c r="AO17" s="331"/>
      <c r="AP17" s="331"/>
      <c r="AQ17" s="331"/>
      <c r="AR17" s="331"/>
      <c r="AS17" s="331"/>
      <c r="AT17" s="331"/>
      <c r="AU17" s="331"/>
      <c r="AV17" s="331"/>
      <c r="AW17" s="331"/>
      <c r="AX17" s="331"/>
      <c r="AY17" s="331"/>
      <c r="AZ17" s="331"/>
      <c r="BA17" s="331"/>
      <c r="BB17" s="331"/>
      <c r="BC17" s="331"/>
      <c r="BD17" s="331"/>
      <c r="BE17" s="331"/>
      <c r="BF17" s="331"/>
      <c r="BG17" s="331"/>
      <c r="BH17" s="336"/>
    </row>
    <row r="18" spans="1:60" ht="15" customHeight="1" x14ac:dyDescent="0.25">
      <c r="A18" s="461"/>
      <c r="B18" s="604" t="s">
        <v>31</v>
      </c>
      <c r="C18" s="184" t="s">
        <v>27</v>
      </c>
      <c r="D18" s="4">
        <v>900000</v>
      </c>
      <c r="E18" s="4"/>
      <c r="F18" s="30" cm="1">
        <f t="array" ref="F18">IF(H18&lt;&gt;"", INDEX(H18:BH18, $G$2+1), IF(E18="", D18, E18))</f>
        <v>900000</v>
      </c>
      <c r="G18" s="615" t="s">
        <v>251</v>
      </c>
      <c r="H18" s="170"/>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331"/>
      <c r="AO18" s="331"/>
      <c r="AP18" s="331"/>
      <c r="AQ18" s="331"/>
      <c r="AR18" s="331"/>
      <c r="AS18" s="331"/>
      <c r="AT18" s="331"/>
      <c r="AU18" s="331"/>
      <c r="AV18" s="331"/>
      <c r="AW18" s="331"/>
      <c r="AX18" s="331"/>
      <c r="AY18" s="331"/>
      <c r="AZ18" s="331"/>
      <c r="BA18" s="331"/>
      <c r="BB18" s="331"/>
      <c r="BC18" s="331"/>
      <c r="BD18" s="331"/>
      <c r="BE18" s="331"/>
      <c r="BF18" s="331"/>
      <c r="BG18" s="331"/>
      <c r="BH18" s="336"/>
    </row>
    <row r="19" spans="1:60" x14ac:dyDescent="0.25">
      <c r="A19" s="461"/>
      <c r="B19" s="604" t="s">
        <v>44</v>
      </c>
      <c r="C19" s="184" t="s">
        <v>27</v>
      </c>
      <c r="D19" s="4">
        <v>50000</v>
      </c>
      <c r="E19" s="4"/>
      <c r="F19" s="30" cm="1">
        <f t="array" ref="F19">IF(H19&lt;&gt;"", INDEX(H19:BH19, $G$2+1), IF(E19="", D19, E19))</f>
        <v>50000</v>
      </c>
      <c r="G19" s="615" t="s">
        <v>252</v>
      </c>
      <c r="H19" s="170"/>
      <c r="I19" s="331"/>
      <c r="J19" s="331"/>
      <c r="K19" s="331"/>
      <c r="L19" s="331"/>
      <c r="M19" s="331"/>
      <c r="N19" s="331"/>
      <c r="O19" s="331"/>
      <c r="P19" s="331"/>
      <c r="Q19" s="331"/>
      <c r="R19" s="331"/>
      <c r="S19" s="331"/>
      <c r="T19" s="331"/>
      <c r="U19" s="331"/>
      <c r="V19" s="331"/>
      <c r="W19" s="331"/>
      <c r="X19" s="331"/>
      <c r="Y19" s="331"/>
      <c r="Z19" s="331"/>
      <c r="AA19" s="331"/>
      <c r="AB19" s="331"/>
      <c r="AC19" s="331"/>
      <c r="AD19" s="331"/>
      <c r="AE19" s="331"/>
      <c r="AF19" s="331"/>
      <c r="AG19" s="331"/>
      <c r="AH19" s="331"/>
      <c r="AI19" s="331"/>
      <c r="AJ19" s="331"/>
      <c r="AK19" s="331"/>
      <c r="AL19" s="331"/>
      <c r="AM19" s="331"/>
      <c r="AN19" s="331"/>
      <c r="AO19" s="331"/>
      <c r="AP19" s="331"/>
      <c r="AQ19" s="331"/>
      <c r="AR19" s="331"/>
      <c r="AS19" s="331"/>
      <c r="AT19" s="331"/>
      <c r="AU19" s="331"/>
      <c r="AV19" s="331"/>
      <c r="AW19" s="331"/>
      <c r="AX19" s="331"/>
      <c r="AY19" s="331"/>
      <c r="AZ19" s="331"/>
      <c r="BA19" s="331"/>
      <c r="BB19" s="331"/>
      <c r="BC19" s="331"/>
      <c r="BD19" s="331"/>
      <c r="BE19" s="331"/>
      <c r="BF19" s="331"/>
      <c r="BG19" s="331"/>
      <c r="BH19" s="336"/>
    </row>
    <row r="20" spans="1:60" x14ac:dyDescent="0.25">
      <c r="A20" s="461"/>
      <c r="B20" s="604" t="s">
        <v>253</v>
      </c>
      <c r="C20" s="184" t="s">
        <v>254</v>
      </c>
      <c r="D20" s="4">
        <v>100000</v>
      </c>
      <c r="E20" s="4"/>
      <c r="F20" s="30" cm="1">
        <f t="array" ref="F20">IF(H20&lt;&gt;"", INDEX(H20:BH20, $G$2+1), IF(E20="", D20, E20))</f>
        <v>100000</v>
      </c>
      <c r="G20" s="615" t="s">
        <v>255</v>
      </c>
      <c r="H20" s="170"/>
      <c r="I20" s="331"/>
      <c r="J20" s="331"/>
      <c r="K20" s="331"/>
      <c r="L20" s="331"/>
      <c r="M20" s="331"/>
      <c r="N20" s="331"/>
      <c r="O20" s="331"/>
      <c r="P20" s="331"/>
      <c r="Q20" s="331"/>
      <c r="R20" s="331"/>
      <c r="S20" s="331"/>
      <c r="T20" s="331"/>
      <c r="U20" s="331"/>
      <c r="V20" s="331"/>
      <c r="W20" s="331"/>
      <c r="X20" s="331"/>
      <c r="Y20" s="331"/>
      <c r="Z20" s="331"/>
      <c r="AA20" s="331"/>
      <c r="AB20" s="331"/>
      <c r="AC20" s="331"/>
      <c r="AD20" s="331"/>
      <c r="AE20" s="331"/>
      <c r="AF20" s="331"/>
      <c r="AG20" s="331"/>
      <c r="AH20" s="331"/>
      <c r="AI20" s="331"/>
      <c r="AJ20" s="331"/>
      <c r="AK20" s="331"/>
      <c r="AL20" s="331"/>
      <c r="AM20" s="331"/>
      <c r="AN20" s="331"/>
      <c r="AO20" s="331"/>
      <c r="AP20" s="331"/>
      <c r="AQ20" s="331"/>
      <c r="AR20" s="331"/>
      <c r="AS20" s="331"/>
      <c r="AT20" s="331"/>
      <c r="AU20" s="331"/>
      <c r="AV20" s="331"/>
      <c r="AW20" s="331"/>
      <c r="AX20" s="331"/>
      <c r="AY20" s="331"/>
      <c r="AZ20" s="331"/>
      <c r="BA20" s="331"/>
      <c r="BB20" s="331"/>
      <c r="BC20" s="331"/>
      <c r="BD20" s="331"/>
      <c r="BE20" s="331"/>
      <c r="BF20" s="331"/>
      <c r="BG20" s="331"/>
      <c r="BH20" s="336"/>
    </row>
    <row r="21" spans="1:60" x14ac:dyDescent="0.25">
      <c r="A21" s="461"/>
      <c r="B21" s="604" t="s">
        <v>256</v>
      </c>
      <c r="C21" s="184" t="s">
        <v>98</v>
      </c>
      <c r="D21" s="4">
        <v>75000</v>
      </c>
      <c r="E21" s="4"/>
      <c r="F21" s="30" cm="1">
        <f t="array" ref="F21">IF(H21&lt;&gt;"", INDEX(H21:BH21, $G$2+1), IF(E21="", D21, E21))</f>
        <v>75000</v>
      </c>
      <c r="G21" s="615" t="s">
        <v>257</v>
      </c>
      <c r="H21" s="170"/>
      <c r="I21" s="331"/>
      <c r="J21" s="331"/>
      <c r="K21" s="331"/>
      <c r="L21" s="331"/>
      <c r="M21" s="331"/>
      <c r="N21" s="331"/>
      <c r="O21" s="331"/>
      <c r="P21" s="331"/>
      <c r="Q21" s="331"/>
      <c r="R21" s="331"/>
      <c r="S21" s="331"/>
      <c r="T21" s="331"/>
      <c r="U21" s="331"/>
      <c r="V21" s="331"/>
      <c r="W21" s="331"/>
      <c r="X21" s="331"/>
      <c r="Y21" s="331"/>
      <c r="Z21" s="331"/>
      <c r="AA21" s="331"/>
      <c r="AB21" s="331"/>
      <c r="AC21" s="331"/>
      <c r="AD21" s="331"/>
      <c r="AE21" s="331"/>
      <c r="AF21" s="331"/>
      <c r="AG21" s="331"/>
      <c r="AH21" s="331"/>
      <c r="AI21" s="331"/>
      <c r="AJ21" s="331"/>
      <c r="AK21" s="331"/>
      <c r="AL21" s="331"/>
      <c r="AM21" s="331"/>
      <c r="AN21" s="331"/>
      <c r="AO21" s="331"/>
      <c r="AP21" s="331"/>
      <c r="AQ21" s="331"/>
      <c r="AR21" s="331"/>
      <c r="AS21" s="331"/>
      <c r="AT21" s="331"/>
      <c r="AU21" s="331"/>
      <c r="AV21" s="331"/>
      <c r="AW21" s="331"/>
      <c r="AX21" s="331"/>
      <c r="AY21" s="331"/>
      <c r="AZ21" s="331"/>
      <c r="BA21" s="331"/>
      <c r="BB21" s="331"/>
      <c r="BC21" s="331"/>
      <c r="BD21" s="331"/>
      <c r="BE21" s="331"/>
      <c r="BF21" s="331"/>
      <c r="BG21" s="331"/>
      <c r="BH21" s="336"/>
    </row>
    <row r="22" spans="1:60" ht="14.25" customHeight="1" x14ac:dyDescent="0.25">
      <c r="A22" s="461"/>
      <c r="B22" s="604" t="s">
        <v>258</v>
      </c>
      <c r="C22" s="184" t="s">
        <v>98</v>
      </c>
      <c r="D22" s="643">
        <v>50000</v>
      </c>
      <c r="E22" s="643"/>
      <c r="F22" s="353" cm="1">
        <f t="array" ref="F22">IF(H22&lt;&gt;"", INDEX(H22:BH22, $G$2+1), IF(E22="", D22, E22))</f>
        <v>50000</v>
      </c>
      <c r="G22" s="616" t="s">
        <v>259</v>
      </c>
      <c r="H22" s="552"/>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1"/>
      <c r="AY22" s="321"/>
      <c r="AZ22" s="321"/>
      <c r="BA22" s="321"/>
      <c r="BB22" s="321"/>
      <c r="BC22" s="321"/>
      <c r="BD22" s="321"/>
      <c r="BE22" s="321"/>
      <c r="BF22" s="321"/>
      <c r="BG22" s="321"/>
      <c r="BH22" s="340"/>
    </row>
    <row r="23" spans="1:60" ht="15" customHeight="1" x14ac:dyDescent="0.25">
      <c r="A23" s="461"/>
      <c r="B23" s="844" t="s">
        <v>260</v>
      </c>
      <c r="C23" s="244" t="s">
        <v>50</v>
      </c>
      <c r="D23" s="845">
        <v>0.2</v>
      </c>
      <c r="E23" s="845"/>
      <c r="F23" s="846" cm="1">
        <f t="array" ref="F23">IF(H23&lt;&gt;"", INDEX(H23:BH23, $G$2+1), IF(E23="", D23, E23))</f>
        <v>0.2</v>
      </c>
      <c r="G23" s="617" t="s">
        <v>261</v>
      </c>
      <c r="H23" s="170"/>
      <c r="I23" s="331"/>
      <c r="J23" s="331"/>
      <c r="K23" s="331"/>
      <c r="L23" s="331"/>
      <c r="M23" s="331"/>
      <c r="N23" s="331"/>
      <c r="O23" s="331"/>
      <c r="P23" s="331"/>
      <c r="Q23" s="331"/>
      <c r="R23" s="331"/>
      <c r="S23" s="331"/>
      <c r="T23" s="331"/>
      <c r="U23" s="331"/>
      <c r="V23" s="331"/>
      <c r="W23" s="331"/>
      <c r="X23" s="331"/>
      <c r="Y23" s="331"/>
      <c r="Z23" s="331"/>
      <c r="AA23" s="331"/>
      <c r="AB23" s="331"/>
      <c r="AC23" s="331"/>
      <c r="AD23" s="331"/>
      <c r="AE23" s="331"/>
      <c r="AF23" s="331"/>
      <c r="AG23" s="331"/>
      <c r="AH23" s="331"/>
      <c r="AI23" s="331"/>
      <c r="AJ23" s="331"/>
      <c r="AK23" s="331"/>
      <c r="AL23" s="331"/>
      <c r="AM23" s="331"/>
      <c r="AN23" s="331"/>
      <c r="AO23" s="331"/>
      <c r="AP23" s="331"/>
      <c r="AQ23" s="331"/>
      <c r="AR23" s="331"/>
      <c r="AS23" s="331"/>
      <c r="AT23" s="331"/>
      <c r="AU23" s="331"/>
      <c r="AV23" s="331"/>
      <c r="AW23" s="331"/>
      <c r="AX23" s="331"/>
      <c r="AY23" s="331"/>
      <c r="AZ23" s="331"/>
      <c r="BA23" s="331"/>
      <c r="BB23" s="331"/>
      <c r="BC23" s="331"/>
      <c r="BD23" s="331"/>
      <c r="BE23" s="331"/>
      <c r="BF23" s="331"/>
      <c r="BG23" s="331"/>
      <c r="BH23" s="336"/>
    </row>
    <row r="24" spans="1:60" ht="15" customHeight="1" thickBot="1" x14ac:dyDescent="0.3">
      <c r="A24" s="750"/>
      <c r="B24" s="844" t="s">
        <v>262</v>
      </c>
      <c r="C24" s="244" t="s">
        <v>27</v>
      </c>
      <c r="D24" s="845"/>
      <c r="E24" s="845"/>
      <c r="F24" s="847" cm="1">
        <f t="array" ref="F24">IF(H24&lt;&gt;"", INDEX(H24:BH24, $G$2+1), IF(E24="", D24, E24))</f>
        <v>0</v>
      </c>
      <c r="G24" s="848" t="s">
        <v>263</v>
      </c>
      <c r="H24" s="684">
        <v>0</v>
      </c>
      <c r="I24" s="685"/>
      <c r="J24" s="685"/>
      <c r="K24" s="685"/>
      <c r="L24" s="685"/>
      <c r="M24" s="685">
        <v>10000</v>
      </c>
      <c r="N24" s="685"/>
      <c r="O24" s="685"/>
      <c r="P24" s="685"/>
      <c r="Q24" s="685">
        <v>-5000</v>
      </c>
      <c r="R24" s="685"/>
      <c r="S24" s="685"/>
      <c r="T24" s="685"/>
      <c r="U24" s="685"/>
      <c r="V24" s="685"/>
      <c r="W24" s="685"/>
      <c r="X24" s="685"/>
      <c r="Y24" s="685"/>
      <c r="Z24" s="685"/>
      <c r="AA24" s="685"/>
      <c r="AB24" s="685"/>
      <c r="AC24" s="685"/>
      <c r="AD24" s="685"/>
      <c r="AE24" s="685"/>
      <c r="AF24" s="685"/>
      <c r="AG24" s="685"/>
      <c r="AH24" s="685"/>
      <c r="AI24" s="685"/>
      <c r="AJ24" s="685"/>
      <c r="AK24" s="685"/>
      <c r="AL24" s="685"/>
      <c r="AM24" s="685"/>
      <c r="AN24" s="685"/>
      <c r="AO24" s="685"/>
      <c r="AP24" s="685"/>
      <c r="AQ24" s="685"/>
      <c r="AR24" s="685"/>
      <c r="AS24" s="685"/>
      <c r="AT24" s="685"/>
      <c r="AU24" s="685"/>
      <c r="AV24" s="685"/>
      <c r="AW24" s="685"/>
      <c r="AX24" s="685"/>
      <c r="AY24" s="685"/>
      <c r="AZ24" s="685"/>
      <c r="BA24" s="685"/>
      <c r="BB24" s="685"/>
      <c r="BC24" s="685"/>
      <c r="BD24" s="685"/>
      <c r="BE24" s="685"/>
      <c r="BF24" s="685"/>
      <c r="BG24" s="685"/>
      <c r="BH24" s="686"/>
    </row>
    <row r="25" spans="1:60" ht="14.25" customHeight="1" x14ac:dyDescent="0.25">
      <c r="A25" s="651" t="s">
        <v>264</v>
      </c>
      <c r="B25" s="605"/>
      <c r="C25" s="635"/>
      <c r="D25" s="497"/>
      <c r="E25" s="638"/>
      <c r="F25" s="497"/>
      <c r="G25" s="639"/>
      <c r="H25" s="171"/>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4"/>
      <c r="AQ25" s="334"/>
      <c r="AR25" s="334"/>
      <c r="AS25" s="334"/>
      <c r="AT25" s="334"/>
      <c r="AU25" s="334"/>
      <c r="AV25" s="334"/>
      <c r="AW25" s="334"/>
      <c r="AX25" s="334"/>
      <c r="AY25" s="334"/>
      <c r="AZ25" s="334"/>
      <c r="BA25" s="334"/>
      <c r="BB25" s="334"/>
      <c r="BC25" s="334"/>
      <c r="BD25" s="334"/>
      <c r="BE25" s="334"/>
      <c r="BF25" s="334"/>
      <c r="BG25" s="334"/>
      <c r="BH25" s="335"/>
    </row>
    <row r="26" spans="1:60" ht="15" customHeight="1" x14ac:dyDescent="0.25">
      <c r="A26" s="462"/>
      <c r="B26" s="604" t="s">
        <v>265</v>
      </c>
      <c r="C26" s="184" t="s">
        <v>33</v>
      </c>
      <c r="D26" s="6">
        <v>3</v>
      </c>
      <c r="E26" s="4"/>
      <c r="F26" s="8" cm="1">
        <f t="array" ref="F26">IF(H26&lt;&gt;"", INDEX(H26:BH26, $G$2+1), IF(E26="", D26, E26))</f>
        <v>3</v>
      </c>
      <c r="G26" s="615" t="s">
        <v>266</v>
      </c>
      <c r="H26" s="170"/>
      <c r="I26" s="331"/>
      <c r="J26" s="331"/>
      <c r="K26" s="331"/>
      <c r="L26" s="331"/>
      <c r="M26" s="331"/>
      <c r="N26" s="331"/>
      <c r="O26" s="331"/>
      <c r="P26" s="331"/>
      <c r="Q26" s="331"/>
      <c r="R26" s="331"/>
      <c r="S26" s="331"/>
      <c r="T26" s="331"/>
      <c r="U26" s="331"/>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331"/>
      <c r="BE26" s="331"/>
      <c r="BF26" s="331"/>
      <c r="BG26" s="331"/>
      <c r="BH26" s="336"/>
    </row>
    <row r="27" spans="1:60" ht="15" customHeight="1" x14ac:dyDescent="0.25">
      <c r="A27" s="462"/>
      <c r="B27" s="604" t="s">
        <v>267</v>
      </c>
      <c r="C27" s="184" t="s">
        <v>62</v>
      </c>
      <c r="D27" s="5">
        <v>0.19</v>
      </c>
      <c r="E27" s="5"/>
      <c r="F27" s="359" cm="1">
        <f t="array" ref="F27">IF(H27&lt;&gt;"", INDEX(H27:BH27, $G$2+1), IF(E27="", D27, E27))</f>
        <v>0.19</v>
      </c>
      <c r="G27" s="616" t="s">
        <v>268</v>
      </c>
      <c r="H27" s="170"/>
      <c r="I27" s="331"/>
      <c r="J27" s="331"/>
      <c r="K27" s="331"/>
      <c r="L27" s="331"/>
      <c r="M27" s="331"/>
      <c r="N27" s="331"/>
      <c r="O27" s="331"/>
      <c r="P27" s="331"/>
      <c r="Q27" s="331"/>
      <c r="R27" s="331"/>
      <c r="S27" s="331"/>
      <c r="T27" s="331"/>
      <c r="U27" s="331"/>
      <c r="V27" s="331"/>
      <c r="W27" s="331"/>
      <c r="X27" s="331"/>
      <c r="Y27" s="331"/>
      <c r="Z27" s="331"/>
      <c r="AA27" s="331"/>
      <c r="AB27" s="331"/>
      <c r="AC27" s="331"/>
      <c r="AD27" s="331"/>
      <c r="AE27" s="331"/>
      <c r="AF27" s="331"/>
      <c r="AG27" s="331"/>
      <c r="AH27" s="331"/>
      <c r="AI27" s="331"/>
      <c r="AJ27" s="331"/>
      <c r="AK27" s="331"/>
      <c r="AL27" s="331"/>
      <c r="AM27" s="331"/>
      <c r="AN27" s="331"/>
      <c r="AO27" s="331"/>
      <c r="AP27" s="331"/>
      <c r="AQ27" s="331"/>
      <c r="AR27" s="331"/>
      <c r="AS27" s="331"/>
      <c r="AT27" s="331"/>
      <c r="AU27" s="331"/>
      <c r="AV27" s="331"/>
      <c r="AW27" s="331"/>
      <c r="AX27" s="331"/>
      <c r="AY27" s="331"/>
      <c r="AZ27" s="331"/>
      <c r="BA27" s="331"/>
      <c r="BB27" s="331"/>
      <c r="BC27" s="331"/>
      <c r="BD27" s="331"/>
      <c r="BE27" s="331"/>
      <c r="BF27" s="331"/>
      <c r="BG27" s="331"/>
      <c r="BH27" s="336"/>
    </row>
    <row r="28" spans="1:60" ht="15" customHeight="1" x14ac:dyDescent="0.25">
      <c r="A28" s="462"/>
      <c r="B28" s="604" t="s">
        <v>269</v>
      </c>
      <c r="C28" s="184" t="s">
        <v>62</v>
      </c>
      <c r="D28" s="5">
        <v>0.24</v>
      </c>
      <c r="E28" s="5"/>
      <c r="F28" s="359" cm="1">
        <f t="array" ref="F28">IF(H28&lt;&gt;"", INDEX(H28:BH28, $G$2+1), IF(E28="", D28, E28))</f>
        <v>0.24</v>
      </c>
      <c r="G28" s="616" t="s">
        <v>268</v>
      </c>
      <c r="H28" s="170"/>
      <c r="I28" s="331"/>
      <c r="J28" s="331"/>
      <c r="K28" s="331"/>
      <c r="L28" s="331"/>
      <c r="M28" s="331"/>
      <c r="N28" s="331"/>
      <c r="O28" s="331"/>
      <c r="P28" s="331"/>
      <c r="Q28" s="331"/>
      <c r="R28" s="331"/>
      <c r="S28" s="331"/>
      <c r="T28" s="331"/>
      <c r="U28" s="331"/>
      <c r="V28" s="331"/>
      <c r="W28" s="331"/>
      <c r="X28" s="331"/>
      <c r="Y28" s="331"/>
      <c r="Z28" s="331"/>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31"/>
      <c r="BA28" s="331"/>
      <c r="BB28" s="331"/>
      <c r="BC28" s="331"/>
      <c r="BD28" s="331"/>
      <c r="BE28" s="331"/>
      <c r="BF28" s="331"/>
      <c r="BG28" s="331"/>
      <c r="BH28" s="336"/>
    </row>
    <row r="29" spans="1:60" ht="15" customHeight="1" x14ac:dyDescent="0.25">
      <c r="A29" s="462"/>
      <c r="B29" s="604" t="s">
        <v>270</v>
      </c>
      <c r="C29" s="184" t="s">
        <v>62</v>
      </c>
      <c r="D29" s="5">
        <v>0.22</v>
      </c>
      <c r="E29" s="5"/>
      <c r="F29" s="359" cm="1">
        <f t="array" ref="F29">IF(H29&lt;&gt;"", INDEX(H29:BH29, $G$2+1), IF(E29="", D29, E29))</f>
        <v>0.22</v>
      </c>
      <c r="G29" s="616" t="s">
        <v>268</v>
      </c>
      <c r="H29" s="170"/>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331"/>
      <c r="AU29" s="331"/>
      <c r="AV29" s="331"/>
      <c r="AW29" s="331"/>
      <c r="AX29" s="331"/>
      <c r="AY29" s="331"/>
      <c r="AZ29" s="331"/>
      <c r="BA29" s="331"/>
      <c r="BB29" s="331"/>
      <c r="BC29" s="331"/>
      <c r="BD29" s="331"/>
      <c r="BE29" s="331"/>
      <c r="BF29" s="331"/>
      <c r="BG29" s="331"/>
      <c r="BH29" s="336"/>
    </row>
    <row r="30" spans="1:60" x14ac:dyDescent="0.25">
      <c r="A30" s="462"/>
      <c r="B30" s="604" t="s">
        <v>271</v>
      </c>
      <c r="C30" s="184" t="s">
        <v>35</v>
      </c>
      <c r="D30" s="4">
        <v>800000</v>
      </c>
      <c r="E30" s="4"/>
      <c r="F30" s="30" cm="1">
        <f t="array" ref="F30">IF(H30&lt;&gt;"", INDEX(H30:BH30, $G$2+1), IF(E30="", D30, E30))</f>
        <v>800000</v>
      </c>
      <c r="G30" s="615" t="s">
        <v>272</v>
      </c>
      <c r="H30" s="170"/>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331"/>
      <c r="BC30" s="331"/>
      <c r="BD30" s="331"/>
      <c r="BE30" s="331"/>
      <c r="BF30" s="331"/>
      <c r="BG30" s="331"/>
      <c r="BH30" s="336"/>
    </row>
    <row r="31" spans="1:60" x14ac:dyDescent="0.25">
      <c r="A31" s="462"/>
      <c r="B31" s="604" t="s">
        <v>273</v>
      </c>
      <c r="C31" s="184" t="s">
        <v>274</v>
      </c>
      <c r="D31" s="6">
        <v>0.7</v>
      </c>
      <c r="E31" s="6"/>
      <c r="F31" s="8" cm="1">
        <f t="array" ref="F31">IF(H31&lt;&gt;"", INDEX(H31:BH31, $G$2+1), IF(E31="", D31, E31))</f>
        <v>0.7</v>
      </c>
      <c r="G31" s="615" t="s">
        <v>275</v>
      </c>
      <c r="H31" s="170"/>
      <c r="I31" s="331"/>
      <c r="J31" s="331"/>
      <c r="K31" s="331"/>
      <c r="L31" s="331"/>
      <c r="M31" s="331"/>
      <c r="N31" s="331"/>
      <c r="O31" s="331"/>
      <c r="P31" s="331"/>
      <c r="Q31" s="331"/>
      <c r="R31" s="331"/>
      <c r="S31" s="331"/>
      <c r="T31" s="331"/>
      <c r="U31" s="331"/>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331"/>
      <c r="AS31" s="331"/>
      <c r="AT31" s="331"/>
      <c r="AU31" s="331"/>
      <c r="AV31" s="331"/>
      <c r="AW31" s="331"/>
      <c r="AX31" s="331"/>
      <c r="AY31" s="331"/>
      <c r="AZ31" s="331"/>
      <c r="BA31" s="331"/>
      <c r="BB31" s="331"/>
      <c r="BC31" s="331"/>
      <c r="BD31" s="331"/>
      <c r="BE31" s="331"/>
      <c r="BF31" s="331"/>
      <c r="BG31" s="331"/>
      <c r="BH31" s="336"/>
    </row>
    <row r="32" spans="1:60" ht="15.75" thickBot="1" x14ac:dyDescent="0.3">
      <c r="A32" s="463"/>
      <c r="B32" s="607" t="s">
        <v>276</v>
      </c>
      <c r="C32" s="243" t="s">
        <v>98</v>
      </c>
      <c r="D32" s="246">
        <v>10000</v>
      </c>
      <c r="E32" s="246"/>
      <c r="F32" s="366" cm="1">
        <f t="array" ref="F32">IF(H32&lt;&gt;"", INDEX(H32:BH32, $G$2+1), IF(E32="", D32, E32))</f>
        <v>10000</v>
      </c>
      <c r="G32" s="622" t="s">
        <v>277</v>
      </c>
      <c r="H32" s="352"/>
      <c r="I32" s="338"/>
      <c r="J32" s="338"/>
      <c r="K32" s="338"/>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8"/>
      <c r="BC32" s="338"/>
      <c r="BD32" s="338"/>
      <c r="BE32" s="338"/>
      <c r="BF32" s="338"/>
      <c r="BG32" s="338"/>
      <c r="BH32" s="339"/>
    </row>
    <row r="33" spans="1:60" x14ac:dyDescent="0.25">
      <c r="A33" s="641" t="s">
        <v>278</v>
      </c>
      <c r="B33" s="640"/>
      <c r="C33" s="635"/>
      <c r="D33" s="638"/>
      <c r="E33" s="638"/>
      <c r="F33" s="638"/>
      <c r="G33" s="639"/>
      <c r="H33" s="370"/>
      <c r="I33" s="326"/>
      <c r="J33" s="326"/>
      <c r="K33" s="326"/>
      <c r="L33" s="326"/>
      <c r="M33" s="326"/>
      <c r="N33" s="326"/>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6"/>
      <c r="AY33" s="326"/>
      <c r="AZ33" s="326"/>
      <c r="BA33" s="326"/>
      <c r="BB33" s="326"/>
      <c r="BC33" s="326"/>
      <c r="BD33" s="326"/>
      <c r="BE33" s="326"/>
      <c r="BF33" s="326"/>
      <c r="BG33" s="326"/>
      <c r="BH33" s="327"/>
    </row>
    <row r="34" spans="1:60" ht="14.25" customHeight="1" x14ac:dyDescent="0.25">
      <c r="A34" s="461"/>
      <c r="B34" s="604" t="s">
        <v>265</v>
      </c>
      <c r="C34" s="184" t="s">
        <v>33</v>
      </c>
      <c r="D34" s="6">
        <v>3</v>
      </c>
      <c r="E34" s="4"/>
      <c r="F34" s="8" cm="1">
        <f t="array" ref="F34">IF(H34&lt;&gt;"", INDEX(H34:BH34, $G$2+1), IF(E34="", D34, E34))</f>
        <v>3</v>
      </c>
      <c r="G34" s="615" t="s">
        <v>266</v>
      </c>
      <c r="H34" s="170"/>
      <c r="I34" s="331"/>
      <c r="J34" s="331"/>
      <c r="K34" s="331"/>
      <c r="L34" s="331"/>
      <c r="M34" s="331"/>
      <c r="N34" s="331"/>
      <c r="O34" s="331"/>
      <c r="P34" s="331"/>
      <c r="Q34" s="331"/>
      <c r="R34" s="331"/>
      <c r="S34" s="331"/>
      <c r="T34" s="331"/>
      <c r="U34" s="331"/>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331"/>
      <c r="AU34" s="331"/>
      <c r="AV34" s="331"/>
      <c r="AW34" s="331"/>
      <c r="AX34" s="331"/>
      <c r="AY34" s="331"/>
      <c r="AZ34" s="331"/>
      <c r="BA34" s="331"/>
      <c r="BB34" s="331"/>
      <c r="BC34" s="331"/>
      <c r="BD34" s="331"/>
      <c r="BE34" s="331"/>
      <c r="BF34" s="331"/>
      <c r="BG34" s="331"/>
      <c r="BH34" s="336"/>
    </row>
    <row r="35" spans="1:60" ht="15" customHeight="1" x14ac:dyDescent="0.25">
      <c r="A35" s="461"/>
      <c r="B35" s="604" t="s">
        <v>267</v>
      </c>
      <c r="C35" s="184" t="s">
        <v>62</v>
      </c>
      <c r="D35" s="5">
        <v>0.25</v>
      </c>
      <c r="E35" s="5"/>
      <c r="F35" s="359" cm="1">
        <f t="array" ref="F35">IF(H35&lt;&gt;"", INDEX(H35:BH35, $G$2+1), IF(E35="", D35, E35))</f>
        <v>0.25</v>
      </c>
      <c r="G35" s="616" t="s">
        <v>268</v>
      </c>
      <c r="H35" s="170"/>
      <c r="I35" s="331"/>
      <c r="J35" s="331"/>
      <c r="K35" s="331"/>
      <c r="L35" s="331"/>
      <c r="M35" s="331"/>
      <c r="N35" s="331"/>
      <c r="O35" s="331"/>
      <c r="P35" s="331"/>
      <c r="Q35" s="331"/>
      <c r="R35" s="331"/>
      <c r="S35" s="331"/>
      <c r="T35" s="331"/>
      <c r="U35" s="331"/>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331"/>
      <c r="BC35" s="331"/>
      <c r="BD35" s="331"/>
      <c r="BE35" s="331"/>
      <c r="BF35" s="331"/>
      <c r="BG35" s="331"/>
      <c r="BH35" s="336"/>
    </row>
    <row r="36" spans="1:60" ht="15" customHeight="1" x14ac:dyDescent="0.25">
      <c r="A36" s="461"/>
      <c r="B36" s="604" t="s">
        <v>269</v>
      </c>
      <c r="C36" s="184" t="s">
        <v>62</v>
      </c>
      <c r="D36" s="5">
        <v>0.31</v>
      </c>
      <c r="E36" s="5"/>
      <c r="F36" s="359" cm="1">
        <f t="array" ref="F36">IF(H36&lt;&gt;"", INDEX(H36:BH36, $G$2+1), IF(E36="", D36, E36))</f>
        <v>0.31</v>
      </c>
      <c r="G36" s="616" t="s">
        <v>268</v>
      </c>
      <c r="H36" s="170"/>
      <c r="I36" s="331"/>
      <c r="J36" s="331"/>
      <c r="K36" s="331"/>
      <c r="L36" s="331"/>
      <c r="M36" s="331"/>
      <c r="N36" s="331"/>
      <c r="O36" s="331"/>
      <c r="P36" s="331"/>
      <c r="Q36" s="331"/>
      <c r="R36" s="331"/>
      <c r="S36" s="331"/>
      <c r="T36" s="331"/>
      <c r="U36" s="331"/>
      <c r="V36" s="331"/>
      <c r="W36" s="331"/>
      <c r="X36" s="331"/>
      <c r="Y36" s="331"/>
      <c r="Z36" s="331"/>
      <c r="AA36" s="331"/>
      <c r="AB36" s="331"/>
      <c r="AC36" s="331"/>
      <c r="AD36" s="331"/>
      <c r="AE36" s="331"/>
      <c r="AF36" s="331"/>
      <c r="AG36" s="331"/>
      <c r="AH36" s="331"/>
      <c r="AI36" s="331"/>
      <c r="AJ36" s="331"/>
      <c r="AK36" s="331"/>
      <c r="AL36" s="331"/>
      <c r="AM36" s="331"/>
      <c r="AN36" s="331"/>
      <c r="AO36" s="331"/>
      <c r="AP36" s="331"/>
      <c r="AQ36" s="331"/>
      <c r="AR36" s="331"/>
      <c r="AS36" s="331"/>
      <c r="AT36" s="331"/>
      <c r="AU36" s="331"/>
      <c r="AV36" s="331"/>
      <c r="AW36" s="331"/>
      <c r="AX36" s="331"/>
      <c r="AY36" s="331"/>
      <c r="AZ36" s="331"/>
      <c r="BA36" s="331"/>
      <c r="BB36" s="331"/>
      <c r="BC36" s="331"/>
      <c r="BD36" s="331"/>
      <c r="BE36" s="331"/>
      <c r="BF36" s="331"/>
      <c r="BG36" s="331"/>
      <c r="BH36" s="336"/>
    </row>
    <row r="37" spans="1:60" ht="15" customHeight="1" x14ac:dyDescent="0.25">
      <c r="A37" s="461"/>
      <c r="B37" s="604" t="s">
        <v>270</v>
      </c>
      <c r="C37" s="184" t="s">
        <v>62</v>
      </c>
      <c r="D37" s="5">
        <v>0.28000000000000003</v>
      </c>
      <c r="E37" s="5"/>
      <c r="F37" s="359" cm="1">
        <f t="array" ref="F37">IF(H37&lt;&gt;"", INDEX(H37:BH37, $G$2+1), IF(E37="", D37, E37))</f>
        <v>0.28000000000000003</v>
      </c>
      <c r="G37" s="616" t="s">
        <v>268</v>
      </c>
      <c r="H37" s="170"/>
      <c r="I37" s="331"/>
      <c r="J37" s="331"/>
      <c r="K37" s="331"/>
      <c r="L37" s="331"/>
      <c r="M37" s="331"/>
      <c r="N37" s="331"/>
      <c r="O37" s="331"/>
      <c r="P37" s="331"/>
      <c r="Q37" s="331"/>
      <c r="R37" s="331"/>
      <c r="S37" s="331"/>
      <c r="T37" s="331"/>
      <c r="U37" s="331"/>
      <c r="V37" s="331"/>
      <c r="W37" s="331"/>
      <c r="X37" s="331"/>
      <c r="Y37" s="331"/>
      <c r="Z37" s="331"/>
      <c r="AA37" s="331"/>
      <c r="AB37" s="331"/>
      <c r="AC37" s="331"/>
      <c r="AD37" s="331"/>
      <c r="AE37" s="331"/>
      <c r="AF37" s="331"/>
      <c r="AG37" s="331"/>
      <c r="AH37" s="331"/>
      <c r="AI37" s="331"/>
      <c r="AJ37" s="331"/>
      <c r="AK37" s="331"/>
      <c r="AL37" s="331"/>
      <c r="AM37" s="331"/>
      <c r="AN37" s="331"/>
      <c r="AO37" s="331"/>
      <c r="AP37" s="331"/>
      <c r="AQ37" s="331"/>
      <c r="AR37" s="331"/>
      <c r="AS37" s="331"/>
      <c r="AT37" s="331"/>
      <c r="AU37" s="331"/>
      <c r="AV37" s="331"/>
      <c r="AW37" s="331"/>
      <c r="AX37" s="331"/>
      <c r="AY37" s="331"/>
      <c r="AZ37" s="331"/>
      <c r="BA37" s="331"/>
      <c r="BB37" s="331"/>
      <c r="BC37" s="331"/>
      <c r="BD37" s="331"/>
      <c r="BE37" s="331"/>
      <c r="BF37" s="331"/>
      <c r="BG37" s="331"/>
      <c r="BH37" s="336"/>
    </row>
    <row r="38" spans="1:60" x14ac:dyDescent="0.25">
      <c r="A38" s="461"/>
      <c r="B38" s="604" t="s">
        <v>271</v>
      </c>
      <c r="C38" s="184" t="s">
        <v>35</v>
      </c>
      <c r="D38" s="4">
        <v>800000</v>
      </c>
      <c r="E38" s="4"/>
      <c r="F38" s="30" cm="1">
        <f t="array" ref="F38">IF(H38&lt;&gt;"", INDEX(H38:BH38, $G$2+1), IF(E38="", D38, E38))</f>
        <v>800000</v>
      </c>
      <c r="G38" s="615" t="s">
        <v>272</v>
      </c>
      <c r="H38" s="170"/>
      <c r="I38" s="331"/>
      <c r="J38" s="331"/>
      <c r="K38" s="331"/>
      <c r="L38" s="331"/>
      <c r="M38" s="331"/>
      <c r="N38" s="331"/>
      <c r="O38" s="331"/>
      <c r="P38" s="331"/>
      <c r="Q38" s="331"/>
      <c r="R38" s="331"/>
      <c r="S38" s="331"/>
      <c r="T38" s="331"/>
      <c r="U38" s="331"/>
      <c r="V38" s="331"/>
      <c r="W38" s="331"/>
      <c r="X38" s="331"/>
      <c r="Y38" s="331"/>
      <c r="Z38" s="331"/>
      <c r="AA38" s="331"/>
      <c r="AB38" s="331"/>
      <c r="AC38" s="331"/>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331"/>
      <c r="BB38" s="331"/>
      <c r="BC38" s="331"/>
      <c r="BD38" s="331"/>
      <c r="BE38" s="331"/>
      <c r="BF38" s="331"/>
      <c r="BG38" s="331"/>
      <c r="BH38" s="336"/>
    </row>
    <row r="39" spans="1:60" x14ac:dyDescent="0.25">
      <c r="A39" s="461"/>
      <c r="B39" s="604" t="s">
        <v>279</v>
      </c>
      <c r="C39" s="184" t="s">
        <v>274</v>
      </c>
      <c r="D39" s="6">
        <v>0.9</v>
      </c>
      <c r="E39" s="6"/>
      <c r="F39" s="8" cm="1">
        <f t="array" ref="F39">IF(H39&lt;&gt;"", INDEX(H39:BH39, $G$2+1), IF(E39="", D39, E39))</f>
        <v>0.9</v>
      </c>
      <c r="G39" s="615" t="s">
        <v>275</v>
      </c>
      <c r="H39" s="170"/>
      <c r="I39" s="331"/>
      <c r="J39" s="331"/>
      <c r="K39" s="331"/>
      <c r="L39" s="331"/>
      <c r="M39" s="331"/>
      <c r="N39" s="331"/>
      <c r="O39" s="331"/>
      <c r="P39" s="331"/>
      <c r="Q39" s="331"/>
      <c r="R39" s="331"/>
      <c r="S39" s="331"/>
      <c r="T39" s="331"/>
      <c r="U39" s="331"/>
      <c r="V39" s="331"/>
      <c r="W39" s="331"/>
      <c r="X39" s="331"/>
      <c r="Y39" s="331"/>
      <c r="Z39" s="331"/>
      <c r="AA39" s="331"/>
      <c r="AB39" s="331"/>
      <c r="AC39" s="331"/>
      <c r="AD39" s="331"/>
      <c r="AE39" s="331"/>
      <c r="AF39" s="331"/>
      <c r="AG39" s="331"/>
      <c r="AH39" s="331"/>
      <c r="AI39" s="331"/>
      <c r="AJ39" s="331"/>
      <c r="AK39" s="331"/>
      <c r="AL39" s="331"/>
      <c r="AM39" s="331"/>
      <c r="AN39" s="331"/>
      <c r="AO39" s="331"/>
      <c r="AP39" s="331"/>
      <c r="AQ39" s="331"/>
      <c r="AR39" s="331"/>
      <c r="AS39" s="331"/>
      <c r="AT39" s="331"/>
      <c r="AU39" s="331"/>
      <c r="AV39" s="331"/>
      <c r="AW39" s="331"/>
      <c r="AX39" s="331"/>
      <c r="AY39" s="331"/>
      <c r="AZ39" s="331"/>
      <c r="BA39" s="331"/>
      <c r="BB39" s="331"/>
      <c r="BC39" s="331"/>
      <c r="BD39" s="331"/>
      <c r="BE39" s="331"/>
      <c r="BF39" s="331"/>
      <c r="BG39" s="331"/>
      <c r="BH39" s="336"/>
    </row>
    <row r="40" spans="1:60" ht="15.75" thickBot="1" x14ac:dyDescent="0.3">
      <c r="A40" s="464"/>
      <c r="B40" s="607" t="s">
        <v>280</v>
      </c>
      <c r="C40" s="243" t="s">
        <v>98</v>
      </c>
      <c r="D40" s="246">
        <v>10000</v>
      </c>
      <c r="E40" s="246"/>
      <c r="F40" s="366" cm="1">
        <f t="array" ref="F40">IF(H40&lt;&gt;"", INDEX(H40:BH40, $G$2+1), IF(E40="", D40, E40))</f>
        <v>10000</v>
      </c>
      <c r="G40" s="622" t="s">
        <v>277</v>
      </c>
      <c r="H40" s="370"/>
      <c r="I40" s="326"/>
      <c r="J40" s="326"/>
      <c r="K40" s="326"/>
      <c r="L40" s="326"/>
      <c r="M40" s="326"/>
      <c r="N40" s="326"/>
      <c r="O40" s="326"/>
      <c r="P40" s="326"/>
      <c r="Q40" s="326"/>
      <c r="R40" s="326"/>
      <c r="S40" s="326"/>
      <c r="T40" s="326"/>
      <c r="U40" s="326"/>
      <c r="V40" s="326"/>
      <c r="W40" s="326"/>
      <c r="X40" s="326"/>
      <c r="Y40" s="326"/>
      <c r="Z40" s="326"/>
      <c r="AA40" s="326"/>
      <c r="AB40" s="326"/>
      <c r="AC40" s="326"/>
      <c r="AD40" s="326"/>
      <c r="AE40" s="326"/>
      <c r="AF40" s="326"/>
      <c r="AG40" s="326"/>
      <c r="AH40" s="326"/>
      <c r="AI40" s="326"/>
      <c r="AJ40" s="326"/>
      <c r="AK40" s="326"/>
      <c r="AL40" s="326"/>
      <c r="AM40" s="326"/>
      <c r="AN40" s="326"/>
      <c r="AO40" s="326"/>
      <c r="AP40" s="326"/>
      <c r="AQ40" s="326"/>
      <c r="AR40" s="326"/>
      <c r="AS40" s="326"/>
      <c r="AT40" s="326"/>
      <c r="AU40" s="326"/>
      <c r="AV40" s="326"/>
      <c r="AW40" s="326"/>
      <c r="AX40" s="326"/>
      <c r="AY40" s="326"/>
      <c r="AZ40" s="326"/>
      <c r="BA40" s="326"/>
      <c r="BB40" s="326"/>
      <c r="BC40" s="326"/>
      <c r="BD40" s="326"/>
      <c r="BE40" s="326"/>
      <c r="BF40" s="326"/>
      <c r="BG40" s="326"/>
      <c r="BH40" s="327"/>
    </row>
    <row r="41" spans="1:60" x14ac:dyDescent="0.25">
      <c r="A41" s="553" t="s">
        <v>281</v>
      </c>
      <c r="B41" s="605"/>
      <c r="C41" s="635"/>
      <c r="D41" s="638"/>
      <c r="E41" s="638"/>
      <c r="F41" s="638"/>
      <c r="G41" s="639"/>
      <c r="H41" s="633"/>
      <c r="I41" s="554"/>
      <c r="J41" s="554"/>
      <c r="K41" s="554"/>
      <c r="L41" s="554"/>
      <c r="M41" s="554"/>
      <c r="N41" s="554"/>
      <c r="O41" s="554"/>
      <c r="P41" s="554"/>
      <c r="Q41" s="554"/>
      <c r="R41" s="554"/>
      <c r="S41" s="554"/>
      <c r="T41" s="554"/>
      <c r="U41" s="554"/>
      <c r="V41" s="554"/>
      <c r="W41" s="554"/>
      <c r="X41" s="554"/>
      <c r="Y41" s="554"/>
      <c r="Z41" s="554"/>
      <c r="AA41" s="554"/>
      <c r="AB41" s="554"/>
      <c r="AC41" s="554"/>
      <c r="AD41" s="554"/>
      <c r="AE41" s="554"/>
      <c r="AF41" s="554"/>
      <c r="AG41" s="554"/>
      <c r="AH41" s="554"/>
      <c r="AI41" s="554"/>
      <c r="AJ41" s="554"/>
      <c r="AK41" s="554"/>
      <c r="AL41" s="554"/>
      <c r="AM41" s="554"/>
      <c r="AN41" s="554"/>
      <c r="AO41" s="554"/>
      <c r="AP41" s="554"/>
      <c r="AQ41" s="554"/>
      <c r="AR41" s="554"/>
      <c r="AS41" s="554"/>
      <c r="AT41" s="554"/>
      <c r="AU41" s="554"/>
      <c r="AV41" s="554"/>
      <c r="AW41" s="554"/>
      <c r="AX41" s="554"/>
      <c r="AY41" s="554"/>
      <c r="AZ41" s="554"/>
      <c r="BA41" s="554"/>
      <c r="BB41" s="554"/>
      <c r="BC41" s="554"/>
      <c r="BD41" s="554"/>
      <c r="BE41" s="554"/>
      <c r="BF41" s="554"/>
      <c r="BG41" s="554"/>
      <c r="BH41" s="558"/>
    </row>
    <row r="42" spans="1:60" x14ac:dyDescent="0.25">
      <c r="A42" s="462"/>
      <c r="B42" s="604" t="s">
        <v>265</v>
      </c>
      <c r="C42" s="184" t="s">
        <v>33</v>
      </c>
      <c r="D42" s="6">
        <v>3</v>
      </c>
      <c r="E42" s="4"/>
      <c r="F42" s="8" cm="1">
        <f t="array" ref="F42">IF(H42&lt;&gt;"", INDEX(H42:BH42, $G$2+1), IF(E42="", D42, E42))</f>
        <v>3</v>
      </c>
      <c r="G42" s="615" t="s">
        <v>266</v>
      </c>
      <c r="H42" s="370"/>
      <c r="I42" s="326"/>
      <c r="J42" s="326"/>
      <c r="K42" s="326"/>
      <c r="L42" s="326"/>
      <c r="M42" s="326"/>
      <c r="N42" s="326"/>
      <c r="O42" s="326"/>
      <c r="P42" s="326"/>
      <c r="Q42" s="326"/>
      <c r="R42" s="326"/>
      <c r="S42" s="326"/>
      <c r="T42" s="326"/>
      <c r="U42" s="326"/>
      <c r="V42" s="326"/>
      <c r="W42" s="326"/>
      <c r="X42" s="326"/>
      <c r="Y42" s="326"/>
      <c r="Z42" s="326"/>
      <c r="AA42" s="326"/>
      <c r="AB42" s="326"/>
      <c r="AC42" s="326"/>
      <c r="AD42" s="326"/>
      <c r="AE42" s="326"/>
      <c r="AF42" s="326"/>
      <c r="AG42" s="326"/>
      <c r="AH42" s="326"/>
      <c r="AI42" s="326"/>
      <c r="AJ42" s="326"/>
      <c r="AK42" s="326"/>
      <c r="AL42" s="326"/>
      <c r="AM42" s="326"/>
      <c r="AN42" s="326"/>
      <c r="AO42" s="326"/>
      <c r="AP42" s="326"/>
      <c r="AQ42" s="326"/>
      <c r="AR42" s="326"/>
      <c r="AS42" s="326"/>
      <c r="AT42" s="326"/>
      <c r="AU42" s="326"/>
      <c r="AV42" s="326"/>
      <c r="AW42" s="326"/>
      <c r="AX42" s="326"/>
      <c r="AY42" s="326"/>
      <c r="AZ42" s="326"/>
      <c r="BA42" s="326"/>
      <c r="BB42" s="326"/>
      <c r="BC42" s="326"/>
      <c r="BD42" s="326"/>
      <c r="BE42" s="326"/>
      <c r="BF42" s="326"/>
      <c r="BG42" s="326"/>
      <c r="BH42" s="327"/>
    </row>
    <row r="43" spans="1:60" x14ac:dyDescent="0.25">
      <c r="A43" s="462"/>
      <c r="B43" s="604" t="s">
        <v>267</v>
      </c>
      <c r="C43" s="184" t="s">
        <v>62</v>
      </c>
      <c r="D43" s="5">
        <v>0.18</v>
      </c>
      <c r="E43" s="5"/>
      <c r="F43" s="359" cm="1">
        <f t="array" ref="F43">IF(H43&lt;&gt;"", INDEX(H43:BH43, $G$2+1), IF(E43="", D43, E43))</f>
        <v>0.18</v>
      </c>
      <c r="G43" s="616" t="s">
        <v>268</v>
      </c>
      <c r="H43" s="370"/>
      <c r="I43" s="326"/>
      <c r="J43" s="326"/>
      <c r="K43" s="326"/>
      <c r="L43" s="326"/>
      <c r="M43" s="326"/>
      <c r="N43" s="326"/>
      <c r="O43" s="326"/>
      <c r="P43" s="326"/>
      <c r="Q43" s="326"/>
      <c r="R43" s="326"/>
      <c r="S43" s="326"/>
      <c r="T43" s="326"/>
      <c r="U43" s="326"/>
      <c r="V43" s="326"/>
      <c r="W43" s="326"/>
      <c r="X43" s="326"/>
      <c r="Y43" s="326"/>
      <c r="Z43" s="326"/>
      <c r="AA43" s="326"/>
      <c r="AB43" s="326"/>
      <c r="AC43" s="326"/>
      <c r="AD43" s="326"/>
      <c r="AE43" s="326"/>
      <c r="AF43" s="326"/>
      <c r="AG43" s="326"/>
      <c r="AH43" s="326"/>
      <c r="AI43" s="326"/>
      <c r="AJ43" s="326"/>
      <c r="AK43" s="326"/>
      <c r="AL43" s="326"/>
      <c r="AM43" s="326"/>
      <c r="AN43" s="326"/>
      <c r="AO43" s="326"/>
      <c r="AP43" s="326"/>
      <c r="AQ43" s="326"/>
      <c r="AR43" s="326"/>
      <c r="AS43" s="326"/>
      <c r="AT43" s="326"/>
      <c r="AU43" s="326"/>
      <c r="AV43" s="326"/>
      <c r="AW43" s="326"/>
      <c r="AX43" s="326"/>
      <c r="AY43" s="326"/>
      <c r="AZ43" s="326"/>
      <c r="BA43" s="326"/>
      <c r="BB43" s="326"/>
      <c r="BC43" s="326"/>
      <c r="BD43" s="326"/>
      <c r="BE43" s="326"/>
      <c r="BF43" s="326"/>
      <c r="BG43" s="326"/>
      <c r="BH43" s="327"/>
    </row>
    <row r="44" spans="1:60" x14ac:dyDescent="0.25">
      <c r="A44" s="462"/>
      <c r="B44" s="604" t="s">
        <v>269</v>
      </c>
      <c r="C44" s="184" t="s">
        <v>62</v>
      </c>
      <c r="D44" s="5">
        <v>0.2</v>
      </c>
      <c r="E44" s="5"/>
      <c r="F44" s="359" cm="1">
        <f t="array" ref="F44">IF(H44&lt;&gt;"", INDEX(H44:BH44, $G$2+1), IF(E44="", D44, E44))</f>
        <v>0.2</v>
      </c>
      <c r="G44" s="616" t="s">
        <v>268</v>
      </c>
      <c r="H44" s="370"/>
      <c r="I44" s="326"/>
      <c r="J44" s="326"/>
      <c r="K44" s="326"/>
      <c r="L44" s="326"/>
      <c r="M44" s="326"/>
      <c r="N44" s="326"/>
      <c r="O44" s="326"/>
      <c r="P44" s="326"/>
      <c r="Q44" s="326"/>
      <c r="R44" s="326"/>
      <c r="S44" s="326"/>
      <c r="T44" s="326"/>
      <c r="U44" s="326"/>
      <c r="V44" s="326"/>
      <c r="W44" s="326"/>
      <c r="X44" s="326"/>
      <c r="Y44" s="326"/>
      <c r="Z44" s="326"/>
      <c r="AA44" s="326"/>
      <c r="AB44" s="326"/>
      <c r="AC44" s="326"/>
      <c r="AD44" s="326"/>
      <c r="AE44" s="326"/>
      <c r="AF44" s="326"/>
      <c r="AG44" s="326"/>
      <c r="AH44" s="326"/>
      <c r="AI44" s="326"/>
      <c r="AJ44" s="326"/>
      <c r="AK44" s="326"/>
      <c r="AL44" s="326"/>
      <c r="AM44" s="326"/>
      <c r="AN44" s="326"/>
      <c r="AO44" s="326"/>
      <c r="AP44" s="326"/>
      <c r="AQ44" s="326"/>
      <c r="AR44" s="326"/>
      <c r="AS44" s="326"/>
      <c r="AT44" s="326"/>
      <c r="AU44" s="326"/>
      <c r="AV44" s="326"/>
      <c r="AW44" s="326"/>
      <c r="AX44" s="326"/>
      <c r="AY44" s="326"/>
      <c r="AZ44" s="326"/>
      <c r="BA44" s="326"/>
      <c r="BB44" s="326"/>
      <c r="BC44" s="326"/>
      <c r="BD44" s="326"/>
      <c r="BE44" s="326"/>
      <c r="BF44" s="326"/>
      <c r="BG44" s="326"/>
      <c r="BH44" s="327"/>
    </row>
    <row r="45" spans="1:60" x14ac:dyDescent="0.25">
      <c r="A45" s="462"/>
      <c r="B45" s="604" t="s">
        <v>270</v>
      </c>
      <c r="C45" s="184" t="s">
        <v>62</v>
      </c>
      <c r="D45" s="5">
        <v>0.21</v>
      </c>
      <c r="E45" s="5"/>
      <c r="F45" s="359" cm="1">
        <f t="array" ref="F45">IF(H45&lt;&gt;"", INDEX(H45:BH45, $G$2+1), IF(E45="", D45, E45))</f>
        <v>0.21</v>
      </c>
      <c r="G45" s="616" t="s">
        <v>268</v>
      </c>
      <c r="H45" s="370"/>
      <c r="I45" s="326"/>
      <c r="J45" s="326"/>
      <c r="K45" s="326"/>
      <c r="L45" s="326"/>
      <c r="M45" s="326"/>
      <c r="N45" s="326"/>
      <c r="O45" s="326"/>
      <c r="P45" s="326"/>
      <c r="Q45" s="326"/>
      <c r="R45" s="326"/>
      <c r="S45" s="326"/>
      <c r="T45" s="326"/>
      <c r="U45" s="326"/>
      <c r="V45" s="326"/>
      <c r="W45" s="326"/>
      <c r="X45" s="326"/>
      <c r="Y45" s="326"/>
      <c r="Z45" s="326"/>
      <c r="AA45" s="326"/>
      <c r="AB45" s="326"/>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26"/>
      <c r="AY45" s="326"/>
      <c r="AZ45" s="326"/>
      <c r="BA45" s="326"/>
      <c r="BB45" s="326"/>
      <c r="BC45" s="326"/>
      <c r="BD45" s="326"/>
      <c r="BE45" s="326"/>
      <c r="BF45" s="326"/>
      <c r="BG45" s="326"/>
      <c r="BH45" s="327"/>
    </row>
    <row r="46" spans="1:60" x14ac:dyDescent="0.25">
      <c r="A46" s="462"/>
      <c r="B46" s="604" t="s">
        <v>271</v>
      </c>
      <c r="C46" s="184" t="s">
        <v>35</v>
      </c>
      <c r="D46" s="4">
        <v>900000</v>
      </c>
      <c r="E46" s="4"/>
      <c r="F46" s="30" cm="1">
        <f t="array" ref="F46">IF(H46&lt;&gt;"", INDEX(H46:BH46, $G$2+1), IF(E46="", D46, E46))</f>
        <v>900000</v>
      </c>
      <c r="G46" s="615" t="s">
        <v>272</v>
      </c>
      <c r="H46" s="370"/>
      <c r="I46" s="326"/>
      <c r="J46" s="326"/>
      <c r="K46" s="326"/>
      <c r="L46" s="326"/>
      <c r="M46" s="326"/>
      <c r="N46" s="326"/>
      <c r="O46" s="326"/>
      <c r="P46" s="326"/>
      <c r="Q46" s="326"/>
      <c r="R46" s="326"/>
      <c r="S46" s="326"/>
      <c r="T46" s="326"/>
      <c r="U46" s="326"/>
      <c r="V46" s="326"/>
      <c r="W46" s="326"/>
      <c r="X46" s="326"/>
      <c r="Y46" s="326"/>
      <c r="Z46" s="326"/>
      <c r="AA46" s="326"/>
      <c r="AB46" s="326"/>
      <c r="AC46" s="326"/>
      <c r="AD46" s="326"/>
      <c r="AE46" s="326"/>
      <c r="AF46" s="326"/>
      <c r="AG46" s="326"/>
      <c r="AH46" s="326"/>
      <c r="AI46" s="326"/>
      <c r="AJ46" s="326"/>
      <c r="AK46" s="326"/>
      <c r="AL46" s="326"/>
      <c r="AM46" s="326"/>
      <c r="AN46" s="326"/>
      <c r="AO46" s="326"/>
      <c r="AP46" s="326"/>
      <c r="AQ46" s="326"/>
      <c r="AR46" s="326"/>
      <c r="AS46" s="326"/>
      <c r="AT46" s="326"/>
      <c r="AU46" s="326"/>
      <c r="AV46" s="326"/>
      <c r="AW46" s="326"/>
      <c r="AX46" s="326"/>
      <c r="AY46" s="326"/>
      <c r="AZ46" s="326"/>
      <c r="BA46" s="326"/>
      <c r="BB46" s="326"/>
      <c r="BC46" s="326"/>
      <c r="BD46" s="326"/>
      <c r="BE46" s="326"/>
      <c r="BF46" s="326"/>
      <c r="BG46" s="326"/>
      <c r="BH46" s="327"/>
    </row>
    <row r="47" spans="1:60" x14ac:dyDescent="0.25">
      <c r="A47" s="462"/>
      <c r="B47" s="604" t="s">
        <v>279</v>
      </c>
      <c r="C47" s="184" t="s">
        <v>274</v>
      </c>
      <c r="D47" s="6">
        <v>2</v>
      </c>
      <c r="E47" s="6"/>
      <c r="F47" s="8" cm="1">
        <f t="array" ref="F47">IF(H47&lt;&gt;"", INDEX(H47:BH47, $G$2+1), IF(E47="", D47, E47))</f>
        <v>2</v>
      </c>
      <c r="G47" s="615" t="s">
        <v>275</v>
      </c>
      <c r="H47" s="370"/>
      <c r="I47" s="326"/>
      <c r="J47" s="326"/>
      <c r="K47" s="326"/>
      <c r="L47" s="326"/>
      <c r="M47" s="326"/>
      <c r="N47" s="326"/>
      <c r="O47" s="326"/>
      <c r="P47" s="326"/>
      <c r="Q47" s="326"/>
      <c r="R47" s="326"/>
      <c r="S47" s="326"/>
      <c r="T47" s="326"/>
      <c r="U47" s="326"/>
      <c r="V47" s="326"/>
      <c r="W47" s="326"/>
      <c r="X47" s="326"/>
      <c r="Y47" s="326"/>
      <c r="Z47" s="326"/>
      <c r="AA47" s="326"/>
      <c r="AB47" s="326"/>
      <c r="AC47" s="326"/>
      <c r="AD47" s="326"/>
      <c r="AE47" s="326"/>
      <c r="AF47" s="326"/>
      <c r="AG47" s="326"/>
      <c r="AH47" s="326"/>
      <c r="AI47" s="326"/>
      <c r="AJ47" s="326"/>
      <c r="AK47" s="326"/>
      <c r="AL47" s="326"/>
      <c r="AM47" s="326"/>
      <c r="AN47" s="326"/>
      <c r="AO47" s="326"/>
      <c r="AP47" s="326"/>
      <c r="AQ47" s="326"/>
      <c r="AR47" s="326"/>
      <c r="AS47" s="326"/>
      <c r="AT47" s="326"/>
      <c r="AU47" s="326"/>
      <c r="AV47" s="326"/>
      <c r="AW47" s="326"/>
      <c r="AX47" s="326"/>
      <c r="AY47" s="326"/>
      <c r="AZ47" s="326"/>
      <c r="BA47" s="326"/>
      <c r="BB47" s="326"/>
      <c r="BC47" s="326"/>
      <c r="BD47" s="326"/>
      <c r="BE47" s="326"/>
      <c r="BF47" s="326"/>
      <c r="BG47" s="326"/>
      <c r="BH47" s="327"/>
    </row>
    <row r="48" spans="1:60" ht="15.75" thickBot="1" x14ac:dyDescent="0.3">
      <c r="A48" s="463"/>
      <c r="B48" s="607" t="s">
        <v>282</v>
      </c>
      <c r="C48" s="243" t="s">
        <v>98</v>
      </c>
      <c r="D48" s="246">
        <v>10000</v>
      </c>
      <c r="E48" s="246"/>
      <c r="F48" s="366" cm="1">
        <f t="array" ref="F48">IF(H48&lt;&gt;"", INDEX(H48:BH48, $G$2+1), IF(E48="", D48, E48))</f>
        <v>10000</v>
      </c>
      <c r="G48" s="622" t="s">
        <v>277</v>
      </c>
      <c r="H48" s="352"/>
      <c r="I48" s="338"/>
      <c r="J48" s="338"/>
      <c r="K48" s="338"/>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8"/>
      <c r="BC48" s="338"/>
      <c r="BD48" s="338"/>
      <c r="BE48" s="338"/>
      <c r="BF48" s="338"/>
      <c r="BG48" s="338"/>
      <c r="BH48" s="339"/>
    </row>
    <row r="49" spans="1:60" x14ac:dyDescent="0.25">
      <c r="A49" s="644" t="s">
        <v>283</v>
      </c>
      <c r="B49" s="631"/>
      <c r="C49" s="630"/>
      <c r="D49" s="632"/>
      <c r="E49" s="632"/>
      <c r="F49" s="632"/>
      <c r="G49" s="642"/>
      <c r="H49" s="370"/>
      <c r="I49" s="326"/>
      <c r="J49" s="326"/>
      <c r="K49" s="326"/>
      <c r="L49" s="326"/>
      <c r="M49" s="326"/>
      <c r="N49" s="326"/>
      <c r="O49" s="326"/>
      <c r="P49" s="326"/>
      <c r="Q49" s="326"/>
      <c r="R49" s="326"/>
      <c r="S49" s="326"/>
      <c r="T49" s="326"/>
      <c r="U49" s="326"/>
      <c r="V49" s="326"/>
      <c r="W49" s="326"/>
      <c r="X49" s="326"/>
      <c r="Y49" s="326"/>
      <c r="Z49" s="326"/>
      <c r="AA49" s="326"/>
      <c r="AB49" s="326"/>
      <c r="AC49" s="326"/>
      <c r="AD49" s="326"/>
      <c r="AE49" s="326"/>
      <c r="AF49" s="326"/>
      <c r="AG49" s="326"/>
      <c r="AH49" s="326"/>
      <c r="AI49" s="326"/>
      <c r="AJ49" s="326"/>
      <c r="AK49" s="326"/>
      <c r="AL49" s="326"/>
      <c r="AM49" s="326"/>
      <c r="AN49" s="326"/>
      <c r="AO49" s="326"/>
      <c r="AP49" s="326"/>
      <c r="AQ49" s="326"/>
      <c r="AR49" s="326"/>
      <c r="AS49" s="326"/>
      <c r="AT49" s="326"/>
      <c r="AU49" s="326"/>
      <c r="AV49" s="326"/>
      <c r="AW49" s="326"/>
      <c r="AX49" s="326"/>
      <c r="AY49" s="326"/>
      <c r="AZ49" s="326"/>
      <c r="BA49" s="326"/>
      <c r="BB49" s="326"/>
      <c r="BC49" s="326"/>
      <c r="BD49" s="326"/>
      <c r="BE49" s="326"/>
      <c r="BF49" s="326"/>
      <c r="BG49" s="326"/>
      <c r="BH49" s="327"/>
    </row>
    <row r="50" spans="1:60" x14ac:dyDescent="0.25">
      <c r="A50" s="461"/>
      <c r="B50" s="604" t="s">
        <v>284</v>
      </c>
      <c r="C50" s="184" t="s">
        <v>285</v>
      </c>
      <c r="D50" s="6">
        <v>30</v>
      </c>
      <c r="E50" s="4"/>
      <c r="F50" s="8" cm="1">
        <f t="array" ref="F50">IF(H50&lt;&gt;"", INDEX(H50:BH50, $G$2+1), IF(E50="", D50, E50))</f>
        <v>30</v>
      </c>
      <c r="G50" s="615" t="s">
        <v>286</v>
      </c>
      <c r="H50" s="370"/>
      <c r="I50" s="326"/>
      <c r="J50" s="326"/>
      <c r="K50" s="326"/>
      <c r="L50" s="326"/>
      <c r="M50" s="326"/>
      <c r="N50" s="326"/>
      <c r="O50" s="326"/>
      <c r="P50" s="326"/>
      <c r="Q50" s="326"/>
      <c r="R50" s="326"/>
      <c r="S50" s="326"/>
      <c r="T50" s="326"/>
      <c r="U50" s="326"/>
      <c r="V50" s="326"/>
      <c r="W50" s="326"/>
      <c r="X50" s="326"/>
      <c r="Y50" s="326"/>
      <c r="Z50" s="326"/>
      <c r="AA50" s="326"/>
      <c r="AB50" s="326"/>
      <c r="AC50" s="326"/>
      <c r="AD50" s="326"/>
      <c r="AE50" s="326"/>
      <c r="AF50" s="326"/>
      <c r="AG50" s="326"/>
      <c r="AH50" s="326"/>
      <c r="AI50" s="326"/>
      <c r="AJ50" s="326"/>
      <c r="AK50" s="326"/>
      <c r="AL50" s="326"/>
      <c r="AM50" s="326"/>
      <c r="AN50" s="326"/>
      <c r="AO50" s="326"/>
      <c r="AP50" s="326"/>
      <c r="AQ50" s="326"/>
      <c r="AR50" s="326"/>
      <c r="AS50" s="326"/>
      <c r="AT50" s="326"/>
      <c r="AU50" s="326"/>
      <c r="AV50" s="326"/>
      <c r="AW50" s="326"/>
      <c r="AX50" s="326"/>
      <c r="AY50" s="326"/>
      <c r="AZ50" s="326"/>
      <c r="BA50" s="326"/>
      <c r="BB50" s="326"/>
      <c r="BC50" s="326"/>
      <c r="BD50" s="326"/>
      <c r="BE50" s="326"/>
      <c r="BF50" s="326"/>
      <c r="BG50" s="326"/>
      <c r="BH50" s="327"/>
    </row>
    <row r="51" spans="1:60" x14ac:dyDescent="0.25">
      <c r="A51" s="461"/>
      <c r="B51" s="604" t="s">
        <v>287</v>
      </c>
      <c r="C51" s="184" t="s">
        <v>62</v>
      </c>
      <c r="D51" s="5">
        <v>0.8</v>
      </c>
      <c r="E51" s="4"/>
      <c r="F51" s="359" cm="1">
        <f t="array" ref="F51">IF(H51&lt;&gt;"", INDEX(H51:BH51, $G$2+1), IF(E51="", D51, E51))</f>
        <v>0.8</v>
      </c>
      <c r="G51" s="615" t="s">
        <v>286</v>
      </c>
      <c r="H51" s="370"/>
      <c r="I51" s="326"/>
      <c r="J51" s="326"/>
      <c r="K51" s="326"/>
      <c r="L51" s="326"/>
      <c r="M51" s="326"/>
      <c r="N51" s="326"/>
      <c r="O51" s="326"/>
      <c r="P51" s="326"/>
      <c r="Q51" s="326"/>
      <c r="R51" s="326"/>
      <c r="S51" s="326"/>
      <c r="T51" s="326"/>
      <c r="U51" s="326"/>
      <c r="V51" s="326"/>
      <c r="W51" s="326"/>
      <c r="X51" s="326"/>
      <c r="Y51" s="326"/>
      <c r="Z51" s="326"/>
      <c r="AA51" s="326"/>
      <c r="AB51" s="326"/>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6"/>
      <c r="AY51" s="326"/>
      <c r="AZ51" s="326"/>
      <c r="BA51" s="326"/>
      <c r="BB51" s="326"/>
      <c r="BC51" s="326"/>
      <c r="BD51" s="326"/>
      <c r="BE51" s="326"/>
      <c r="BF51" s="326"/>
      <c r="BG51" s="326"/>
      <c r="BH51" s="327"/>
    </row>
    <row r="52" spans="1:60" x14ac:dyDescent="0.25">
      <c r="A52" s="461"/>
      <c r="B52" s="604" t="s">
        <v>288</v>
      </c>
      <c r="C52" s="184" t="s">
        <v>62</v>
      </c>
      <c r="D52" s="347">
        <f>F51^(1/F50)-100%</f>
        <v>-7.4105240336950207E-3</v>
      </c>
      <c r="E52" s="4"/>
      <c r="F52" s="365" cm="1">
        <f t="array" ref="F52">IF(H52&lt;&gt;"", INDEX(H52:BH52, $G$2+1), IF(E52="", D52, E52))</f>
        <v>-7.4105240336950207E-3</v>
      </c>
      <c r="G52" s="615" t="s">
        <v>289</v>
      </c>
      <c r="H52" s="370"/>
      <c r="I52" s="326"/>
      <c r="J52" s="326"/>
      <c r="K52" s="326"/>
      <c r="L52" s="326"/>
      <c r="M52" s="326"/>
      <c r="N52" s="326"/>
      <c r="O52" s="326"/>
      <c r="P52" s="326"/>
      <c r="Q52" s="326"/>
      <c r="R52" s="326"/>
      <c r="S52" s="326"/>
      <c r="T52" s="326"/>
      <c r="U52" s="326"/>
      <c r="V52" s="326"/>
      <c r="W52" s="326"/>
      <c r="X52" s="326"/>
      <c r="Y52" s="326"/>
      <c r="Z52" s="326"/>
      <c r="AA52" s="326"/>
      <c r="AB52" s="326"/>
      <c r="AC52" s="326"/>
      <c r="AD52" s="326"/>
      <c r="AE52" s="326"/>
      <c r="AF52" s="326"/>
      <c r="AG52" s="326"/>
      <c r="AH52" s="326"/>
      <c r="AI52" s="326"/>
      <c r="AJ52" s="326"/>
      <c r="AK52" s="326"/>
      <c r="AL52" s="326"/>
      <c r="AM52" s="326"/>
      <c r="AN52" s="326"/>
      <c r="AO52" s="326"/>
      <c r="AP52" s="326"/>
      <c r="AQ52" s="326"/>
      <c r="AR52" s="326"/>
      <c r="AS52" s="326"/>
      <c r="AT52" s="326"/>
      <c r="AU52" s="326"/>
      <c r="AV52" s="326"/>
      <c r="AW52" s="326"/>
      <c r="AX52" s="326"/>
      <c r="AY52" s="326"/>
      <c r="AZ52" s="326"/>
      <c r="BA52" s="326"/>
      <c r="BB52" s="326"/>
      <c r="BC52" s="326"/>
      <c r="BD52" s="326"/>
      <c r="BE52" s="326"/>
      <c r="BF52" s="326"/>
      <c r="BG52" s="326"/>
      <c r="BH52" s="327"/>
    </row>
    <row r="53" spans="1:60" ht="15" customHeight="1" x14ac:dyDescent="0.25">
      <c r="A53" s="461"/>
      <c r="B53" s="604" t="s">
        <v>290</v>
      </c>
      <c r="C53" s="184" t="s">
        <v>62</v>
      </c>
      <c r="D53" s="5">
        <v>1</v>
      </c>
      <c r="E53" s="5"/>
      <c r="F53" s="359" cm="1">
        <f t="array" ref="F53">IF(H53&lt;&gt;"", INDEX(H53:BH53, $G$2+1), IF(E53="", D53, E53))</f>
        <v>1</v>
      </c>
      <c r="G53" s="616" t="s">
        <v>291</v>
      </c>
      <c r="H53" s="555">
        <f>IF(ISBLANK(E53),D53,E53)</f>
        <v>1</v>
      </c>
      <c r="I53" s="344">
        <f t="shared" ref="I53:AN53" si="1">IF(ISNUMBER(H53),H53*(1+$F52),H53)</f>
        <v>0.99258947596630498</v>
      </c>
      <c r="J53" s="344">
        <f t="shared" si="1"/>
        <v>0.98523386779906397</v>
      </c>
      <c r="K53" s="344">
        <f t="shared" si="1"/>
        <v>0.97793276854292865</v>
      </c>
      <c r="L53" s="344">
        <f t="shared" si="1"/>
        <v>0.97068577425830338</v>
      </c>
      <c r="M53" s="344">
        <f t="shared" si="1"/>
        <v>0.96349248399899634</v>
      </c>
      <c r="N53" s="344">
        <f t="shared" si="1"/>
        <v>0.95635249979003722</v>
      </c>
      <c r="O53" s="344">
        <f t="shared" si="1"/>
        <v>0.94926542660565882</v>
      </c>
      <c r="P53" s="344">
        <f t="shared" si="1"/>
        <v>0.94223087234744185</v>
      </c>
      <c r="Q53" s="344">
        <f t="shared" si="1"/>
        <v>0.93524844782262173</v>
      </c>
      <c r="R53" s="344">
        <f t="shared" si="1"/>
        <v>0.92831776672255628</v>
      </c>
      <c r="S53" s="344">
        <f t="shared" si="1"/>
        <v>0.92143844560135268</v>
      </c>
      <c r="T53" s="344">
        <f t="shared" si="1"/>
        <v>0.91461010385465324</v>
      </c>
      <c r="U53" s="344">
        <f t="shared" si="1"/>
        <v>0.907832363698578</v>
      </c>
      <c r="V53" s="344">
        <f t="shared" si="1"/>
        <v>0.90110485014882358</v>
      </c>
      <c r="W53" s="344">
        <f t="shared" si="1"/>
        <v>0.89442719099991652</v>
      </c>
      <c r="X53" s="344">
        <f t="shared" si="1"/>
        <v>0.88779901680462137</v>
      </c>
      <c r="Y53" s="344">
        <f t="shared" si="1"/>
        <v>0.88121996085349996</v>
      </c>
      <c r="Z53" s="344">
        <f t="shared" si="1"/>
        <v>0.87468965915462327</v>
      </c>
      <c r="AA53" s="344">
        <f t="shared" si="1"/>
        <v>0.86820775041343345</v>
      </c>
      <c r="AB53" s="344">
        <f t="shared" si="1"/>
        <v>0.86177387601275446</v>
      </c>
      <c r="AC53" s="344">
        <f t="shared" si="1"/>
        <v>0.8553876799929514</v>
      </c>
      <c r="AD53" s="344">
        <f t="shared" si="1"/>
        <v>0.84904880903223701</v>
      </c>
      <c r="AE53" s="344">
        <f t="shared" si="1"/>
        <v>0.84275691242712347</v>
      </c>
      <c r="AF53" s="344">
        <f t="shared" si="1"/>
        <v>0.83651164207301965</v>
      </c>
      <c r="AG53" s="344">
        <f t="shared" si="1"/>
        <v>0.83031265244497188</v>
      </c>
      <c r="AH53" s="344">
        <f t="shared" si="1"/>
        <v>0.82415960057854731</v>
      </c>
      <c r="AI53" s="344">
        <f t="shared" si="1"/>
        <v>0.81805214605085952</v>
      </c>
      <c r="AJ53" s="344">
        <f t="shared" si="1"/>
        <v>0.81198995096173388</v>
      </c>
      <c r="AK53" s="344">
        <f t="shared" si="1"/>
        <v>0.80597267991501309</v>
      </c>
      <c r="AL53" s="344">
        <f t="shared" si="1"/>
        <v>0.80000000000000127</v>
      </c>
      <c r="AM53" s="344">
        <f t="shared" si="1"/>
        <v>0.79407158077304529</v>
      </c>
      <c r="AN53" s="344">
        <f t="shared" si="1"/>
        <v>0.78818709423925248</v>
      </c>
      <c r="AO53" s="344">
        <f t="shared" ref="AO53:BH53" si="2">IF(ISNUMBER(AN53),AN53*(1+$F52),AN53)</f>
        <v>0.7823462148343443</v>
      </c>
      <c r="AP53" s="344">
        <f t="shared" si="2"/>
        <v>0.7765486194066441</v>
      </c>
      <c r="AQ53" s="344">
        <f t="shared" si="2"/>
        <v>0.77079398719919845</v>
      </c>
      <c r="AR53" s="344">
        <f t="shared" si="2"/>
        <v>0.76508199983203118</v>
      </c>
      <c r="AS53" s="344">
        <f t="shared" si="2"/>
        <v>0.7594123412845285</v>
      </c>
      <c r="AT53" s="344">
        <f t="shared" si="2"/>
        <v>0.75378469787795488</v>
      </c>
      <c r="AU53" s="344">
        <f t="shared" si="2"/>
        <v>0.74819875825809878</v>
      </c>
      <c r="AV53" s="344">
        <f t="shared" si="2"/>
        <v>0.74265421337804638</v>
      </c>
      <c r="AW53" s="344">
        <f t="shared" si="2"/>
        <v>0.73715075648108352</v>
      </c>
      <c r="AX53" s="344">
        <f t="shared" si="2"/>
        <v>0.73168808308372402</v>
      </c>
      <c r="AY53" s="344">
        <f t="shared" si="2"/>
        <v>0.72626589095886385</v>
      </c>
      <c r="AZ53" s="344">
        <f t="shared" si="2"/>
        <v>0.72088388011906024</v>
      </c>
      <c r="BA53" s="344">
        <f t="shared" si="2"/>
        <v>0.71554175279993459</v>
      </c>
      <c r="BB53" s="344">
        <f t="shared" si="2"/>
        <v>0.71023921344369845</v>
      </c>
      <c r="BC53" s="344">
        <f t="shared" si="2"/>
        <v>0.70497596868280132</v>
      </c>
      <c r="BD53" s="344">
        <f t="shared" si="2"/>
        <v>0.69975172732369995</v>
      </c>
      <c r="BE53" s="344">
        <f t="shared" si="2"/>
        <v>0.69456620033074812</v>
      </c>
      <c r="BF53" s="344">
        <f t="shared" si="2"/>
        <v>0.68941910081020485</v>
      </c>
      <c r="BG53" s="344">
        <f t="shared" si="2"/>
        <v>0.68431014399436241</v>
      </c>
      <c r="BH53" s="345">
        <f t="shared" si="2"/>
        <v>0.67923904722579087</v>
      </c>
    </row>
    <row r="54" spans="1:60" ht="15" customHeight="1" x14ac:dyDescent="0.25">
      <c r="A54" s="461"/>
      <c r="B54" s="608" t="s">
        <v>292</v>
      </c>
      <c r="C54" s="330" t="s">
        <v>62</v>
      </c>
      <c r="D54" s="322">
        <v>0.8</v>
      </c>
      <c r="E54" s="322"/>
      <c r="F54" s="367" cm="1">
        <f t="array" ref="F54">IF(H54&lt;&gt;"", INDEX(H54:BH54, $G$2+1), IF(E54="", D54, E54))</f>
        <v>0.8</v>
      </c>
      <c r="G54" s="617" t="s">
        <v>293</v>
      </c>
      <c r="H54" s="550"/>
      <c r="I54" s="324"/>
      <c r="J54" s="324"/>
      <c r="K54" s="324"/>
      <c r="L54" s="324"/>
      <c r="M54" s="324"/>
      <c r="N54" s="324"/>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5"/>
    </row>
    <row r="55" spans="1:60" ht="15" customHeight="1" x14ac:dyDescent="0.25">
      <c r="A55" s="461"/>
      <c r="B55" s="608" t="s">
        <v>294</v>
      </c>
      <c r="C55" s="330" t="s">
        <v>62</v>
      </c>
      <c r="D55" s="348">
        <f>(F54-100%)*F11</f>
        <v>-4.9999999999999992E-3</v>
      </c>
      <c r="E55" s="322"/>
      <c r="F55" s="368" cm="1">
        <f t="array" ref="F55">IF(H55&lt;&gt;"", INDEX(H55:BH55, $G$2+1), IF(E55="", D55, E55))</f>
        <v>-4.9999999999999992E-3</v>
      </c>
      <c r="G55" s="617" t="s">
        <v>294</v>
      </c>
      <c r="H55" s="550"/>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5"/>
    </row>
    <row r="56" spans="1:60" x14ac:dyDescent="0.25">
      <c r="A56" s="461"/>
      <c r="B56" s="608" t="s">
        <v>295</v>
      </c>
      <c r="C56" s="244" t="s">
        <v>35</v>
      </c>
      <c r="D56" s="245">
        <v>70</v>
      </c>
      <c r="E56" s="245"/>
      <c r="F56" s="369" cm="1">
        <f t="array" ref="F56">IF(H56&lt;&gt;"", INDEX(H56:BH56, $G$2+1), IF(E56="", D56, E56))</f>
        <v>70</v>
      </c>
      <c r="G56" s="621" t="s">
        <v>296</v>
      </c>
      <c r="H56" s="556">
        <f>IF(ISBLANK(E56),D56,E56)</f>
        <v>70</v>
      </c>
      <c r="I56" s="192">
        <f t="shared" ref="I56:AN56" si="3">IF(ISNUMBER(H56),H56*(1+$F55),H56)</f>
        <v>69.650000000000006</v>
      </c>
      <c r="J56" s="192">
        <f t="shared" si="3"/>
        <v>69.301749999999998</v>
      </c>
      <c r="K56" s="192">
        <f t="shared" si="3"/>
        <v>68.95524125</v>
      </c>
      <c r="L56" s="192">
        <f t="shared" si="3"/>
        <v>68.610465043749997</v>
      </c>
      <c r="M56" s="192">
        <f t="shared" si="3"/>
        <v>68.267412718531247</v>
      </c>
      <c r="N56" s="192">
        <f t="shared" si="3"/>
        <v>67.926075654938586</v>
      </c>
      <c r="O56" s="192">
        <f t="shared" si="3"/>
        <v>67.586445276663895</v>
      </c>
      <c r="P56" s="192">
        <f t="shared" si="3"/>
        <v>67.248513050280579</v>
      </c>
      <c r="Q56" s="192">
        <f t="shared" si="3"/>
        <v>66.912270485029183</v>
      </c>
      <c r="R56" s="192">
        <f t="shared" si="3"/>
        <v>66.577709132604042</v>
      </c>
      <c r="S56" s="192">
        <f t="shared" si="3"/>
        <v>66.244820586941017</v>
      </c>
      <c r="T56" s="192">
        <f t="shared" si="3"/>
        <v>65.913596484006305</v>
      </c>
      <c r="U56" s="192">
        <f t="shared" si="3"/>
        <v>65.584028501586275</v>
      </c>
      <c r="V56" s="192">
        <f t="shared" si="3"/>
        <v>65.25610835907834</v>
      </c>
      <c r="W56" s="192">
        <f t="shared" si="3"/>
        <v>64.929827817282941</v>
      </c>
      <c r="X56" s="192">
        <f t="shared" si="3"/>
        <v>64.605178678196523</v>
      </c>
      <c r="Y56" s="192">
        <f t="shared" si="3"/>
        <v>64.282152784805547</v>
      </c>
      <c r="Z56" s="192">
        <f t="shared" si="3"/>
        <v>63.960742020881518</v>
      </c>
      <c r="AA56" s="192">
        <f t="shared" si="3"/>
        <v>63.640938310777109</v>
      </c>
      <c r="AB56" s="192">
        <f t="shared" si="3"/>
        <v>63.322733619223222</v>
      </c>
      <c r="AC56" s="192">
        <f t="shared" si="3"/>
        <v>63.006119951127104</v>
      </c>
      <c r="AD56" s="192">
        <f t="shared" si="3"/>
        <v>62.691089351371467</v>
      </c>
      <c r="AE56" s="192">
        <f t="shared" si="3"/>
        <v>62.377633904614612</v>
      </c>
      <c r="AF56" s="192">
        <f t="shared" si="3"/>
        <v>62.065745735091539</v>
      </c>
      <c r="AG56" s="192">
        <f t="shared" si="3"/>
        <v>61.755417006416081</v>
      </c>
      <c r="AH56" s="192">
        <f t="shared" si="3"/>
        <v>61.446639921383998</v>
      </c>
      <c r="AI56" s="192">
        <f t="shared" si="3"/>
        <v>61.139406721777078</v>
      </c>
      <c r="AJ56" s="192">
        <f t="shared" si="3"/>
        <v>60.833709688168192</v>
      </c>
      <c r="AK56" s="192">
        <f t="shared" si="3"/>
        <v>60.52954113972735</v>
      </c>
      <c r="AL56" s="192">
        <f t="shared" si="3"/>
        <v>60.22689343402871</v>
      </c>
      <c r="AM56" s="192">
        <f t="shared" si="3"/>
        <v>59.925758966858567</v>
      </c>
      <c r="AN56" s="192">
        <f t="shared" si="3"/>
        <v>59.626130172024276</v>
      </c>
      <c r="AO56" s="192">
        <f t="shared" ref="AO56:BH56" si="4">IF(ISNUMBER(AN56),AN56*(1+$F55),AN56)</f>
        <v>59.327999521164152</v>
      </c>
      <c r="AP56" s="192">
        <f t="shared" si="4"/>
        <v>59.031359523558329</v>
      </c>
      <c r="AQ56" s="192">
        <f t="shared" si="4"/>
        <v>58.736202725940537</v>
      </c>
      <c r="AR56" s="192">
        <f t="shared" si="4"/>
        <v>58.442521712310835</v>
      </c>
      <c r="AS56" s="192">
        <f t="shared" si="4"/>
        <v>58.150309103749279</v>
      </c>
      <c r="AT56" s="192">
        <f t="shared" si="4"/>
        <v>57.859557558230534</v>
      </c>
      <c r="AU56" s="192">
        <f t="shared" si="4"/>
        <v>57.570259770439378</v>
      </c>
      <c r="AV56" s="192">
        <f t="shared" si="4"/>
        <v>57.282408471587182</v>
      </c>
      <c r="AW56" s="192">
        <f t="shared" si="4"/>
        <v>56.995996429229244</v>
      </c>
      <c r="AX56" s="192">
        <f t="shared" si="4"/>
        <v>56.711016447083097</v>
      </c>
      <c r="AY56" s="192">
        <f t="shared" si="4"/>
        <v>56.42746136484768</v>
      </c>
      <c r="AZ56" s="192">
        <f t="shared" si="4"/>
        <v>56.145324058023441</v>
      </c>
      <c r="BA56" s="192">
        <f t="shared" si="4"/>
        <v>55.864597437733323</v>
      </c>
      <c r="BB56" s="192">
        <f t="shared" si="4"/>
        <v>55.585274450544659</v>
      </c>
      <c r="BC56" s="192">
        <f t="shared" si="4"/>
        <v>55.307348078291938</v>
      </c>
      <c r="BD56" s="192">
        <f t="shared" si="4"/>
        <v>55.030811337900481</v>
      </c>
      <c r="BE56" s="192">
        <f t="shared" si="4"/>
        <v>54.755657281210979</v>
      </c>
      <c r="BF56" s="192">
        <f t="shared" si="4"/>
        <v>54.481878994804923</v>
      </c>
      <c r="BG56" s="192">
        <f t="shared" si="4"/>
        <v>54.209469599830896</v>
      </c>
      <c r="BH56" s="346">
        <f t="shared" si="4"/>
        <v>53.938422251831739</v>
      </c>
    </row>
    <row r="57" spans="1:60" ht="15.75" thickBot="1" x14ac:dyDescent="0.3">
      <c r="A57" s="464"/>
      <c r="B57" s="607" t="s">
        <v>297</v>
      </c>
      <c r="C57" s="243" t="s">
        <v>35</v>
      </c>
      <c r="D57" s="246">
        <v>67000</v>
      </c>
      <c r="E57" s="246"/>
      <c r="F57" s="366" cm="1">
        <f t="array" ref="F57">IF(H57&lt;&gt;"", INDEX(H57:BH57, $G$2+1), IF(E57="", D57, E57))</f>
        <v>67000</v>
      </c>
      <c r="G57" s="622" t="s">
        <v>272</v>
      </c>
      <c r="H57" s="370"/>
      <c r="I57" s="326"/>
      <c r="J57" s="326"/>
      <c r="K57" s="326"/>
      <c r="L57" s="326"/>
      <c r="M57" s="326"/>
      <c r="N57" s="326"/>
      <c r="O57" s="326"/>
      <c r="P57" s="326"/>
      <c r="Q57" s="326"/>
      <c r="R57" s="326"/>
      <c r="S57" s="326"/>
      <c r="T57" s="326"/>
      <c r="U57" s="326"/>
      <c r="V57" s="326"/>
      <c r="W57" s="326"/>
      <c r="X57" s="326"/>
      <c r="Y57" s="326"/>
      <c r="Z57" s="326"/>
      <c r="AA57" s="326"/>
      <c r="AB57" s="326"/>
      <c r="AC57" s="326"/>
      <c r="AD57" s="326"/>
      <c r="AE57" s="326"/>
      <c r="AF57" s="326"/>
      <c r="AG57" s="326"/>
      <c r="AH57" s="326"/>
      <c r="AI57" s="326"/>
      <c r="AJ57" s="326"/>
      <c r="AK57" s="326"/>
      <c r="AL57" s="326"/>
      <c r="AM57" s="326"/>
      <c r="AN57" s="326"/>
      <c r="AO57" s="326"/>
      <c r="AP57" s="326"/>
      <c r="AQ57" s="326"/>
      <c r="AR57" s="326"/>
      <c r="AS57" s="326"/>
      <c r="AT57" s="326"/>
      <c r="AU57" s="326"/>
      <c r="AV57" s="326"/>
      <c r="AW57" s="326"/>
      <c r="AX57" s="326"/>
      <c r="AY57" s="326"/>
      <c r="AZ57" s="326"/>
      <c r="BA57" s="326"/>
      <c r="BB57" s="326"/>
      <c r="BC57" s="326"/>
      <c r="BD57" s="326"/>
      <c r="BE57" s="326"/>
      <c r="BF57" s="326"/>
      <c r="BG57" s="326"/>
      <c r="BH57" s="327"/>
    </row>
    <row r="58" spans="1:60" x14ac:dyDescent="0.25">
      <c r="A58" s="553" t="s">
        <v>298</v>
      </c>
      <c r="B58" s="605"/>
      <c r="C58" s="635"/>
      <c r="D58" s="638"/>
      <c r="E58" s="638"/>
      <c r="F58" s="638"/>
      <c r="G58" s="639"/>
      <c r="H58" s="171"/>
      <c r="I58" s="334"/>
      <c r="J58" s="334"/>
      <c r="K58" s="334"/>
      <c r="L58" s="334"/>
      <c r="M58" s="334"/>
      <c r="N58" s="334"/>
      <c r="O58" s="334"/>
      <c r="P58" s="334"/>
      <c r="Q58" s="334"/>
      <c r="R58" s="334"/>
      <c r="S58" s="334"/>
      <c r="T58" s="334"/>
      <c r="U58" s="334"/>
      <c r="V58" s="334"/>
      <c r="W58" s="334"/>
      <c r="X58" s="334"/>
      <c r="Y58" s="334"/>
      <c r="Z58" s="334"/>
      <c r="AA58" s="334"/>
      <c r="AB58" s="334"/>
      <c r="AC58" s="334"/>
      <c r="AD58" s="334"/>
      <c r="AE58" s="334"/>
      <c r="AF58" s="334"/>
      <c r="AG58" s="334"/>
      <c r="AH58" s="334"/>
      <c r="AI58" s="334"/>
      <c r="AJ58" s="334"/>
      <c r="AK58" s="334"/>
      <c r="AL58" s="334"/>
      <c r="AM58" s="334"/>
      <c r="AN58" s="334"/>
      <c r="AO58" s="334"/>
      <c r="AP58" s="334"/>
      <c r="AQ58" s="334"/>
      <c r="AR58" s="334"/>
      <c r="AS58" s="334"/>
      <c r="AT58" s="334"/>
      <c r="AU58" s="334"/>
      <c r="AV58" s="334"/>
      <c r="AW58" s="334"/>
      <c r="AX58" s="334"/>
      <c r="AY58" s="334"/>
      <c r="AZ58" s="334"/>
      <c r="BA58" s="334"/>
      <c r="BB58" s="334"/>
      <c r="BC58" s="334"/>
      <c r="BD58" s="334"/>
      <c r="BE58" s="334"/>
      <c r="BF58" s="334"/>
      <c r="BG58" s="334"/>
      <c r="BH58" s="335"/>
    </row>
    <row r="59" spans="1:60" ht="14.25" customHeight="1" x14ac:dyDescent="0.25">
      <c r="A59" s="461"/>
      <c r="B59" s="604" t="s">
        <v>265</v>
      </c>
      <c r="C59" s="184" t="s">
        <v>33</v>
      </c>
      <c r="D59" s="6">
        <v>2.5</v>
      </c>
      <c r="E59" s="4"/>
      <c r="F59" s="8" cm="1">
        <f t="array" ref="F59">IF(H59&lt;&gt;"", INDEX(H59:BH59, $G$2+1), IF(E59="", D59, E59))</f>
        <v>2.5</v>
      </c>
      <c r="G59" s="615" t="s">
        <v>266</v>
      </c>
      <c r="H59" s="170"/>
      <c r="I59" s="331"/>
      <c r="J59" s="331"/>
      <c r="K59" s="331"/>
      <c r="L59" s="331"/>
      <c r="M59" s="331"/>
      <c r="N59" s="331"/>
      <c r="O59" s="331"/>
      <c r="P59" s="331"/>
      <c r="Q59" s="331"/>
      <c r="R59" s="331"/>
      <c r="S59" s="331"/>
      <c r="T59" s="331"/>
      <c r="U59" s="331"/>
      <c r="V59" s="331"/>
      <c r="W59" s="331"/>
      <c r="X59" s="331"/>
      <c r="Y59" s="331"/>
      <c r="Z59" s="331"/>
      <c r="AA59" s="331"/>
      <c r="AB59" s="331"/>
      <c r="AC59" s="331"/>
      <c r="AD59" s="331"/>
      <c r="AE59" s="331"/>
      <c r="AF59" s="331"/>
      <c r="AG59" s="331"/>
      <c r="AH59" s="331"/>
      <c r="AI59" s="331"/>
      <c r="AJ59" s="331"/>
      <c r="AK59" s="331"/>
      <c r="AL59" s="331"/>
      <c r="AM59" s="331"/>
      <c r="AN59" s="331"/>
      <c r="AO59" s="331"/>
      <c r="AP59" s="331"/>
      <c r="AQ59" s="331"/>
      <c r="AR59" s="331"/>
      <c r="AS59" s="331"/>
      <c r="AT59" s="331"/>
      <c r="AU59" s="331"/>
      <c r="AV59" s="331"/>
      <c r="AW59" s="331"/>
      <c r="AX59" s="331"/>
      <c r="AY59" s="331"/>
      <c r="AZ59" s="331"/>
      <c r="BA59" s="331"/>
      <c r="BB59" s="331"/>
      <c r="BC59" s="331"/>
      <c r="BD59" s="331"/>
      <c r="BE59" s="331"/>
      <c r="BF59" s="331"/>
      <c r="BG59" s="331"/>
      <c r="BH59" s="336"/>
    </row>
    <row r="60" spans="1:60" ht="14.65" customHeight="1" x14ac:dyDescent="0.25">
      <c r="A60" s="461"/>
      <c r="B60" s="604" t="s">
        <v>299</v>
      </c>
      <c r="C60" s="184" t="s">
        <v>62</v>
      </c>
      <c r="D60" s="5">
        <v>0.35</v>
      </c>
      <c r="E60" s="5"/>
      <c r="F60" s="359" cm="1">
        <f t="array" ref="F60">IF(H60&lt;&gt;"", INDEX(H60:BH60, $G$2+1), IF(E60="", D60, E60))</f>
        <v>0.35</v>
      </c>
      <c r="G60" s="616" t="s">
        <v>300</v>
      </c>
      <c r="H60" s="170"/>
      <c r="I60" s="331"/>
      <c r="J60" s="331"/>
      <c r="K60" s="331"/>
      <c r="L60" s="331"/>
      <c r="M60" s="331"/>
      <c r="N60" s="331"/>
      <c r="O60" s="331"/>
      <c r="P60" s="331"/>
      <c r="Q60" s="331"/>
      <c r="R60" s="331"/>
      <c r="S60" s="331"/>
      <c r="T60" s="331"/>
      <c r="U60" s="331"/>
      <c r="V60" s="331"/>
      <c r="W60" s="331"/>
      <c r="X60" s="331"/>
      <c r="Y60" s="331"/>
      <c r="Z60" s="331"/>
      <c r="AA60" s="331"/>
      <c r="AB60" s="331"/>
      <c r="AC60" s="331"/>
      <c r="AD60" s="331"/>
      <c r="AE60" s="331"/>
      <c r="AF60" s="331"/>
      <c r="AG60" s="331"/>
      <c r="AH60" s="331"/>
      <c r="AI60" s="331"/>
      <c r="AJ60" s="331"/>
      <c r="AK60" s="331"/>
      <c r="AL60" s="331"/>
      <c r="AM60" s="331"/>
      <c r="AN60" s="331"/>
      <c r="AO60" s="331"/>
      <c r="AP60" s="331"/>
      <c r="AQ60" s="331"/>
      <c r="AR60" s="331"/>
      <c r="AS60" s="331"/>
      <c r="AT60" s="331"/>
      <c r="AU60" s="331"/>
      <c r="AV60" s="331"/>
      <c r="AW60" s="331"/>
      <c r="AX60" s="331"/>
      <c r="AY60" s="331"/>
      <c r="AZ60" s="331"/>
      <c r="BA60" s="331"/>
      <c r="BB60" s="331"/>
      <c r="BC60" s="331"/>
      <c r="BD60" s="331"/>
      <c r="BE60" s="331"/>
      <c r="BF60" s="331"/>
      <c r="BG60" s="331"/>
      <c r="BH60" s="336"/>
    </row>
    <row r="61" spans="1:60" ht="14.65" customHeight="1" x14ac:dyDescent="0.25">
      <c r="A61" s="461"/>
      <c r="B61" s="604" t="s">
        <v>301</v>
      </c>
      <c r="C61" s="184" t="s">
        <v>62</v>
      </c>
      <c r="D61" s="259">
        <v>5.0000000000000001E-3</v>
      </c>
      <c r="E61" s="5"/>
      <c r="F61" s="365" cm="1">
        <f t="array" ref="F61">IF(H61&lt;&gt;"", INDEX(H61:BH61, $G$2+1), IF(E61="", D61, E61))</f>
        <v>5.0000000000000001E-3</v>
      </c>
      <c r="G61" s="616" t="s">
        <v>302</v>
      </c>
      <c r="H61" s="170"/>
      <c r="I61" s="331"/>
      <c r="J61" s="331"/>
      <c r="K61" s="331"/>
      <c r="L61" s="331"/>
      <c r="M61" s="331"/>
      <c r="N61" s="331"/>
      <c r="O61" s="331"/>
      <c r="P61" s="331"/>
      <c r="Q61" s="331"/>
      <c r="R61" s="331"/>
      <c r="S61" s="331"/>
      <c r="T61" s="331"/>
      <c r="U61" s="331"/>
      <c r="V61" s="331"/>
      <c r="W61" s="331"/>
      <c r="X61" s="331"/>
      <c r="Y61" s="331"/>
      <c r="Z61" s="331"/>
      <c r="AA61" s="331"/>
      <c r="AB61" s="331"/>
      <c r="AC61" s="331"/>
      <c r="AD61" s="331"/>
      <c r="AE61" s="331"/>
      <c r="AF61" s="331"/>
      <c r="AG61" s="331"/>
      <c r="AH61" s="331"/>
      <c r="AI61" s="331"/>
      <c r="AJ61" s="331"/>
      <c r="AK61" s="331"/>
      <c r="AL61" s="331"/>
      <c r="AM61" s="331"/>
      <c r="AN61" s="331"/>
      <c r="AO61" s="331"/>
      <c r="AP61" s="331"/>
      <c r="AQ61" s="331"/>
      <c r="AR61" s="331"/>
      <c r="AS61" s="331"/>
      <c r="AT61" s="331"/>
      <c r="AU61" s="331"/>
      <c r="AV61" s="331"/>
      <c r="AW61" s="331"/>
      <c r="AX61" s="331"/>
      <c r="AY61" s="331"/>
      <c r="AZ61" s="331"/>
      <c r="BA61" s="331"/>
      <c r="BB61" s="331"/>
      <c r="BC61" s="331"/>
      <c r="BD61" s="331"/>
      <c r="BE61" s="331"/>
      <c r="BF61" s="331"/>
      <c r="BG61" s="331"/>
      <c r="BH61" s="336"/>
    </row>
    <row r="62" spans="1:60" ht="14.65" customHeight="1" x14ac:dyDescent="0.25">
      <c r="A62" s="461"/>
      <c r="B62" s="604" t="s">
        <v>303</v>
      </c>
      <c r="C62" s="184" t="s">
        <v>62</v>
      </c>
      <c r="D62" s="344">
        <v>1</v>
      </c>
      <c r="E62" s="5"/>
      <c r="F62" s="359" cm="1">
        <f t="array" ref="F62">IF(H62&lt;&gt;"", INDEX(H62:BH62, $G$2+1), IF(E62="", D62, E62))</f>
        <v>1</v>
      </c>
      <c r="G62" s="616" t="s">
        <v>289</v>
      </c>
      <c r="H62" s="555">
        <f>IF(ISBLANK(E62),D62,E62)</f>
        <v>1</v>
      </c>
      <c r="I62" s="344">
        <f>H62*(1-$F$61)</f>
        <v>0.995</v>
      </c>
      <c r="J62" s="344">
        <f t="shared" ref="J62:BH62" si="5">I62*(1-$F$61)</f>
        <v>0.99002500000000004</v>
      </c>
      <c r="K62" s="344">
        <f t="shared" si="5"/>
        <v>0.98507487500000002</v>
      </c>
      <c r="L62" s="344">
        <f t="shared" si="5"/>
        <v>0.98014950062500006</v>
      </c>
      <c r="M62" s="344">
        <f t="shared" si="5"/>
        <v>0.97524875312187509</v>
      </c>
      <c r="N62" s="344">
        <f t="shared" si="5"/>
        <v>0.97037250935626573</v>
      </c>
      <c r="O62" s="344">
        <f t="shared" si="5"/>
        <v>0.96552064680948435</v>
      </c>
      <c r="P62" s="344">
        <f t="shared" si="5"/>
        <v>0.96069304357543694</v>
      </c>
      <c r="Q62" s="344">
        <f t="shared" si="5"/>
        <v>0.95588957835755972</v>
      </c>
      <c r="R62" s="344">
        <f t="shared" si="5"/>
        <v>0.95111013046577186</v>
      </c>
      <c r="S62" s="344">
        <f t="shared" si="5"/>
        <v>0.94635457981344295</v>
      </c>
      <c r="T62" s="344">
        <f t="shared" si="5"/>
        <v>0.94162280691437572</v>
      </c>
      <c r="U62" s="344">
        <f t="shared" si="5"/>
        <v>0.93691469287980389</v>
      </c>
      <c r="V62" s="344">
        <f t="shared" si="5"/>
        <v>0.9322301194154049</v>
      </c>
      <c r="W62" s="344">
        <f t="shared" si="5"/>
        <v>0.92756896881832784</v>
      </c>
      <c r="X62" s="344">
        <f t="shared" si="5"/>
        <v>0.92293112397423616</v>
      </c>
      <c r="Y62" s="344">
        <f t="shared" si="5"/>
        <v>0.91831646835436498</v>
      </c>
      <c r="Z62" s="344">
        <f t="shared" si="5"/>
        <v>0.91372488601259316</v>
      </c>
      <c r="AA62" s="344">
        <f t="shared" si="5"/>
        <v>0.90915626158253016</v>
      </c>
      <c r="AB62" s="344">
        <f t="shared" si="5"/>
        <v>0.90461048027461755</v>
      </c>
      <c r="AC62" s="344">
        <f t="shared" si="5"/>
        <v>0.90008742787324447</v>
      </c>
      <c r="AD62" s="344">
        <f t="shared" si="5"/>
        <v>0.89558699073387826</v>
      </c>
      <c r="AE62" s="344">
        <f t="shared" si="5"/>
        <v>0.89110905578020883</v>
      </c>
      <c r="AF62" s="344">
        <f t="shared" si="5"/>
        <v>0.88665351050130781</v>
      </c>
      <c r="AG62" s="344">
        <f t="shared" si="5"/>
        <v>0.8822202429488013</v>
      </c>
      <c r="AH62" s="344">
        <f t="shared" si="5"/>
        <v>0.87780914173405733</v>
      </c>
      <c r="AI62" s="344">
        <f t="shared" si="5"/>
        <v>0.87342009602538706</v>
      </c>
      <c r="AJ62" s="344">
        <f t="shared" si="5"/>
        <v>0.86905299554526017</v>
      </c>
      <c r="AK62" s="344">
        <f t="shared" si="5"/>
        <v>0.86470773056753381</v>
      </c>
      <c r="AL62" s="344">
        <f t="shared" si="5"/>
        <v>0.86038419191469617</v>
      </c>
      <c r="AM62" s="344">
        <f t="shared" si="5"/>
        <v>0.85608227095512268</v>
      </c>
      <c r="AN62" s="344">
        <f t="shared" si="5"/>
        <v>0.85180185960034704</v>
      </c>
      <c r="AO62" s="344">
        <f t="shared" si="5"/>
        <v>0.84754285030234533</v>
      </c>
      <c r="AP62" s="344">
        <f t="shared" si="5"/>
        <v>0.84330513605083357</v>
      </c>
      <c r="AQ62" s="344">
        <f t="shared" si="5"/>
        <v>0.83908861037057936</v>
      </c>
      <c r="AR62" s="344">
        <f t="shared" si="5"/>
        <v>0.83489316731872643</v>
      </c>
      <c r="AS62" s="344">
        <f t="shared" si="5"/>
        <v>0.83071870148213278</v>
      </c>
      <c r="AT62" s="344">
        <f t="shared" si="5"/>
        <v>0.82656510797472216</v>
      </c>
      <c r="AU62" s="344">
        <f t="shared" si="5"/>
        <v>0.82243228243484856</v>
      </c>
      <c r="AV62" s="344">
        <f t="shared" si="5"/>
        <v>0.81832012102267426</v>
      </c>
      <c r="AW62" s="344">
        <f t="shared" si="5"/>
        <v>0.81422852041756089</v>
      </c>
      <c r="AX62" s="344">
        <f t="shared" si="5"/>
        <v>0.81015737781547303</v>
      </c>
      <c r="AY62" s="344">
        <f t="shared" si="5"/>
        <v>0.80610659092639569</v>
      </c>
      <c r="AZ62" s="344">
        <f t="shared" si="5"/>
        <v>0.80207605797176373</v>
      </c>
      <c r="BA62" s="344">
        <f t="shared" si="5"/>
        <v>0.79806567768190495</v>
      </c>
      <c r="BB62" s="344">
        <f t="shared" si="5"/>
        <v>0.79407534929349544</v>
      </c>
      <c r="BC62" s="344">
        <f t="shared" si="5"/>
        <v>0.79010497254702794</v>
      </c>
      <c r="BD62" s="344">
        <f t="shared" si="5"/>
        <v>0.78615444768429277</v>
      </c>
      <c r="BE62" s="344">
        <f t="shared" si="5"/>
        <v>0.78222367544587135</v>
      </c>
      <c r="BF62" s="344">
        <f t="shared" si="5"/>
        <v>0.778312557068642</v>
      </c>
      <c r="BG62" s="344">
        <f t="shared" si="5"/>
        <v>0.7744209942832988</v>
      </c>
      <c r="BH62" s="345">
        <f t="shared" si="5"/>
        <v>0.77054888931188226</v>
      </c>
    </row>
    <row r="63" spans="1:60" x14ac:dyDescent="0.25">
      <c r="A63" s="461"/>
      <c r="B63" s="604" t="s">
        <v>304</v>
      </c>
      <c r="C63" s="184" t="s">
        <v>35</v>
      </c>
      <c r="D63" s="4">
        <v>2100000</v>
      </c>
      <c r="E63" s="4"/>
      <c r="F63" s="30" cm="1">
        <f t="array" ref="F63">IF(H63&lt;&gt;"", INDEX(H63:BH63, $G$2+1), IF(E63="", D63, E63))</f>
        <v>2100000</v>
      </c>
      <c r="G63" s="615" t="s">
        <v>272</v>
      </c>
      <c r="H63" s="170"/>
      <c r="I63" s="331"/>
      <c r="J63" s="331"/>
      <c r="K63" s="331"/>
      <c r="L63" s="331"/>
      <c r="M63" s="331"/>
      <c r="N63" s="331"/>
      <c r="O63" s="331"/>
      <c r="P63" s="331"/>
      <c r="Q63" s="331"/>
      <c r="R63" s="331"/>
      <c r="S63" s="331"/>
      <c r="T63" s="331"/>
      <c r="U63" s="331"/>
      <c r="V63" s="331"/>
      <c r="W63" s="331"/>
      <c r="X63" s="331"/>
      <c r="Y63" s="331"/>
      <c r="Z63" s="331"/>
      <c r="AA63" s="331"/>
      <c r="AB63" s="331"/>
      <c r="AC63" s="331"/>
      <c r="AD63" s="331"/>
      <c r="AE63" s="331"/>
      <c r="AF63" s="331"/>
      <c r="AG63" s="331"/>
      <c r="AH63" s="331"/>
      <c r="AI63" s="331"/>
      <c r="AJ63" s="331"/>
      <c r="AK63" s="331"/>
      <c r="AL63" s="331"/>
      <c r="AM63" s="331"/>
      <c r="AN63" s="331"/>
      <c r="AO63" s="331"/>
      <c r="AP63" s="331"/>
      <c r="AQ63" s="331"/>
      <c r="AR63" s="331"/>
      <c r="AS63" s="331"/>
      <c r="AT63" s="331"/>
      <c r="AU63" s="331"/>
      <c r="AV63" s="331"/>
      <c r="AW63" s="331"/>
      <c r="AX63" s="331"/>
      <c r="AY63" s="331"/>
      <c r="AZ63" s="331"/>
      <c r="BA63" s="331"/>
      <c r="BB63" s="331"/>
      <c r="BC63" s="331"/>
      <c r="BD63" s="331"/>
      <c r="BE63" s="331"/>
      <c r="BF63" s="331"/>
      <c r="BG63" s="331"/>
      <c r="BH63" s="336"/>
    </row>
    <row r="64" spans="1:60" x14ac:dyDescent="0.25">
      <c r="A64" s="461"/>
      <c r="B64" s="604" t="s">
        <v>305</v>
      </c>
      <c r="C64" s="184" t="s">
        <v>274</v>
      </c>
      <c r="D64" s="6">
        <v>0.3</v>
      </c>
      <c r="E64" s="6"/>
      <c r="F64" s="8" cm="1">
        <f t="array" ref="F64">IF(H64&lt;&gt;"", INDEX(H64:BH64, $G$2+1), IF(E64="", D64, E64))</f>
        <v>0.3</v>
      </c>
      <c r="G64" s="623" t="s">
        <v>306</v>
      </c>
      <c r="H64" s="170"/>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6"/>
    </row>
    <row r="65" spans="1:60" x14ac:dyDescent="0.25">
      <c r="A65" s="461"/>
      <c r="B65" s="604" t="s">
        <v>307</v>
      </c>
      <c r="C65" s="184" t="s">
        <v>35</v>
      </c>
      <c r="D65" s="4">
        <v>80</v>
      </c>
      <c r="E65" s="4"/>
      <c r="F65" s="30" cm="1">
        <f t="array" ref="F65">IF(H65&lt;&gt;"", INDEX(H65:BH65, $G$2+1), IF(E65="", D65, E65))</f>
        <v>80</v>
      </c>
      <c r="G65" s="615" t="s">
        <v>296</v>
      </c>
      <c r="H65" s="170"/>
      <c r="I65" s="331"/>
      <c r="J65" s="331"/>
      <c r="K65" s="331"/>
      <c r="L65" s="331"/>
      <c r="M65" s="331"/>
      <c r="N65" s="331"/>
      <c r="O65" s="331"/>
      <c r="P65" s="331"/>
      <c r="Q65" s="331"/>
      <c r="R65" s="331"/>
      <c r="S65" s="331"/>
      <c r="T65" s="331"/>
      <c r="U65" s="331"/>
      <c r="V65" s="331"/>
      <c r="W65" s="331"/>
      <c r="X65" s="331"/>
      <c r="Y65" s="331"/>
      <c r="Z65" s="331"/>
      <c r="AA65" s="331"/>
      <c r="AB65" s="331"/>
      <c r="AC65" s="331"/>
      <c r="AD65" s="331"/>
      <c r="AE65" s="331"/>
      <c r="AF65" s="331"/>
      <c r="AG65" s="331"/>
      <c r="AH65" s="331"/>
      <c r="AI65" s="331"/>
      <c r="AJ65" s="331"/>
      <c r="AK65" s="331"/>
      <c r="AL65" s="331"/>
      <c r="AM65" s="331"/>
      <c r="AN65" s="331"/>
      <c r="AO65" s="331"/>
      <c r="AP65" s="331"/>
      <c r="AQ65" s="331"/>
      <c r="AR65" s="331"/>
      <c r="AS65" s="331"/>
      <c r="AT65" s="331"/>
      <c r="AU65" s="331"/>
      <c r="AV65" s="331"/>
      <c r="AW65" s="331"/>
      <c r="AX65" s="331"/>
      <c r="AY65" s="331"/>
      <c r="AZ65" s="331"/>
      <c r="BA65" s="331"/>
      <c r="BB65" s="331"/>
      <c r="BC65" s="331"/>
      <c r="BD65" s="331"/>
      <c r="BE65" s="331"/>
      <c r="BF65" s="331"/>
      <c r="BG65" s="331"/>
      <c r="BH65" s="336"/>
    </row>
    <row r="66" spans="1:60" ht="15.75" thickBot="1" x14ac:dyDescent="0.3">
      <c r="A66" s="461"/>
      <c r="B66" s="608" t="s">
        <v>308</v>
      </c>
      <c r="C66" s="244" t="s">
        <v>98</v>
      </c>
      <c r="D66" s="245">
        <v>20000</v>
      </c>
      <c r="E66" s="245"/>
      <c r="F66" s="369" cm="1">
        <f t="array" ref="F66">IF(H66&lt;&gt;"", INDEX(H66:BH66, $G$2+1), IF(E66="", D66, E66))</f>
        <v>20000</v>
      </c>
      <c r="G66" s="621" t="s">
        <v>277</v>
      </c>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390"/>
      <c r="AO66" s="390"/>
      <c r="AP66" s="390"/>
      <c r="AQ66" s="390"/>
      <c r="AR66" s="390"/>
      <c r="AS66" s="390"/>
      <c r="AT66" s="390"/>
      <c r="AU66" s="390"/>
      <c r="AV66" s="390"/>
      <c r="AW66" s="390"/>
      <c r="AX66" s="390"/>
      <c r="AY66" s="390"/>
      <c r="AZ66" s="390"/>
      <c r="BA66" s="390"/>
      <c r="BB66" s="390"/>
      <c r="BC66" s="390"/>
      <c r="BD66" s="390"/>
      <c r="BE66" s="390"/>
      <c r="BF66" s="390"/>
      <c r="BG66" s="390"/>
      <c r="BH66" s="455"/>
    </row>
    <row r="67" spans="1:60" x14ac:dyDescent="0.25">
      <c r="A67" s="641" t="s">
        <v>309</v>
      </c>
      <c r="B67" s="640"/>
      <c r="C67" s="635"/>
      <c r="D67" s="638"/>
      <c r="E67" s="638"/>
      <c r="F67" s="638"/>
      <c r="G67" s="639"/>
      <c r="H67" s="171"/>
      <c r="I67" s="171"/>
      <c r="J67" s="171"/>
      <c r="K67" s="171"/>
      <c r="L67" s="171"/>
      <c r="M67" s="171"/>
      <c r="N67" s="171"/>
      <c r="O67" s="171"/>
      <c r="P67" s="171"/>
      <c r="Q67" s="171"/>
      <c r="R67" s="171"/>
      <c r="S67" s="171"/>
      <c r="T67" s="171"/>
      <c r="U67" s="171"/>
      <c r="V67" s="171"/>
      <c r="W67" s="171"/>
      <c r="X67" s="171"/>
      <c r="Y67" s="171"/>
      <c r="Z67" s="171"/>
      <c r="AA67" s="171"/>
      <c r="AB67" s="171"/>
      <c r="AC67" s="171"/>
      <c r="AD67" s="171"/>
      <c r="AE67" s="171"/>
      <c r="AF67" s="171"/>
      <c r="AG67" s="171"/>
      <c r="AH67" s="171"/>
      <c r="AI67" s="171"/>
      <c r="AJ67" s="171"/>
      <c r="AK67" s="171"/>
      <c r="AL67" s="171"/>
      <c r="AM67" s="171"/>
      <c r="AN67" s="171"/>
      <c r="AO67" s="171"/>
      <c r="AP67" s="171"/>
      <c r="AQ67" s="171"/>
      <c r="AR67" s="171"/>
      <c r="AS67" s="171"/>
      <c r="AT67" s="171"/>
      <c r="AU67" s="171"/>
      <c r="AV67" s="171"/>
      <c r="AW67" s="171"/>
      <c r="AX67" s="171"/>
      <c r="AY67" s="171"/>
      <c r="AZ67" s="171"/>
      <c r="BA67" s="171"/>
      <c r="BB67" s="171"/>
      <c r="BC67" s="171"/>
      <c r="BD67" s="171"/>
      <c r="BE67" s="171"/>
      <c r="BF67" s="171"/>
      <c r="BG67" s="171"/>
      <c r="BH67" s="453"/>
    </row>
    <row r="68" spans="1:60" ht="14.25" customHeight="1" x14ac:dyDescent="0.25">
      <c r="A68" s="462"/>
      <c r="B68" s="604" t="s">
        <v>39</v>
      </c>
      <c r="C68" s="268" t="s">
        <v>40</v>
      </c>
      <c r="D68" s="6">
        <v>10</v>
      </c>
      <c r="E68" s="4"/>
      <c r="F68" s="8" cm="1">
        <f t="array" ref="F68">IF(H68&lt;&gt;"", INDEX(H68:BH68, $G$2+1), IF(E68="", D68, E68))</f>
        <v>10</v>
      </c>
      <c r="G68" s="615" t="s">
        <v>266</v>
      </c>
      <c r="H68" s="170"/>
      <c r="I68" s="331"/>
      <c r="J68" s="331"/>
      <c r="K68" s="331"/>
      <c r="L68" s="331"/>
      <c r="M68" s="331"/>
      <c r="N68" s="331"/>
      <c r="O68" s="331"/>
      <c r="P68" s="331"/>
      <c r="Q68" s="331"/>
      <c r="R68" s="331"/>
      <c r="S68" s="331"/>
      <c r="T68" s="331"/>
      <c r="U68" s="331"/>
      <c r="V68" s="331"/>
      <c r="W68" s="331"/>
      <c r="X68" s="331"/>
      <c r="Y68" s="331"/>
      <c r="Z68" s="331"/>
      <c r="AA68" s="331"/>
      <c r="AB68" s="331"/>
      <c r="AC68" s="331"/>
      <c r="AD68" s="331"/>
      <c r="AE68" s="331"/>
      <c r="AF68" s="331"/>
      <c r="AG68" s="331"/>
      <c r="AH68" s="331"/>
      <c r="AI68" s="331"/>
      <c r="AJ68" s="331"/>
      <c r="AK68" s="331"/>
      <c r="AL68" s="331"/>
      <c r="AM68" s="331"/>
      <c r="AN68" s="331"/>
      <c r="AO68" s="331"/>
      <c r="AP68" s="331"/>
      <c r="AQ68" s="331"/>
      <c r="AR68" s="331"/>
      <c r="AS68" s="331"/>
      <c r="AT68" s="331"/>
      <c r="AU68" s="331"/>
      <c r="AV68" s="331"/>
      <c r="AW68" s="331"/>
      <c r="AX68" s="331"/>
      <c r="AY68" s="331"/>
      <c r="AZ68" s="331"/>
      <c r="BA68" s="331"/>
      <c r="BB68" s="331"/>
      <c r="BC68" s="331"/>
      <c r="BD68" s="331"/>
      <c r="BE68" s="331"/>
      <c r="BF68" s="331"/>
      <c r="BG68" s="331"/>
      <c r="BH68" s="336"/>
    </row>
    <row r="69" spans="1:60" ht="14.25" customHeight="1" x14ac:dyDescent="0.25">
      <c r="A69" s="462"/>
      <c r="B69" s="606" t="s">
        <v>310</v>
      </c>
      <c r="C69" s="268" t="s">
        <v>205</v>
      </c>
      <c r="D69" s="6">
        <v>15</v>
      </c>
      <c r="E69" s="4"/>
      <c r="F69" s="8" cm="1">
        <f t="array" ref="F69">IF(H69&lt;&gt;"", INDEX(H69:BH69, $G$2+1), IF(E69="", D69, E69))</f>
        <v>15</v>
      </c>
      <c r="G69" s="615" t="s">
        <v>286</v>
      </c>
      <c r="H69" s="170"/>
      <c r="I69" s="331"/>
      <c r="J69" s="331"/>
      <c r="K69" s="331"/>
      <c r="L69" s="331"/>
      <c r="M69" s="331"/>
      <c r="N69" s="331"/>
      <c r="O69" s="331"/>
      <c r="P69" s="331"/>
      <c r="Q69" s="331"/>
      <c r="R69" s="331"/>
      <c r="S69" s="331"/>
      <c r="T69" s="331"/>
      <c r="U69" s="331"/>
      <c r="V69" s="331"/>
      <c r="W69" s="331"/>
      <c r="X69" s="331"/>
      <c r="Y69" s="331"/>
      <c r="Z69" s="331"/>
      <c r="AA69" s="331"/>
      <c r="AB69" s="331"/>
      <c r="AC69" s="331"/>
      <c r="AD69" s="331"/>
      <c r="AE69" s="331"/>
      <c r="AF69" s="331"/>
      <c r="AG69" s="331"/>
      <c r="AH69" s="331"/>
      <c r="AI69" s="331"/>
      <c r="AJ69" s="331"/>
      <c r="AK69" s="331"/>
      <c r="AL69" s="331"/>
      <c r="AM69" s="331"/>
      <c r="AN69" s="331"/>
      <c r="AO69" s="331"/>
      <c r="AP69" s="331"/>
      <c r="AQ69" s="331"/>
      <c r="AR69" s="331"/>
      <c r="AS69" s="331"/>
      <c r="AT69" s="331"/>
      <c r="AU69" s="331"/>
      <c r="AV69" s="331"/>
      <c r="AW69" s="331"/>
      <c r="AX69" s="331"/>
      <c r="AY69" s="331"/>
      <c r="AZ69" s="331"/>
      <c r="BA69" s="331"/>
      <c r="BB69" s="331"/>
      <c r="BC69" s="331"/>
      <c r="BD69" s="331"/>
      <c r="BE69" s="331"/>
      <c r="BF69" s="331"/>
      <c r="BG69" s="331"/>
      <c r="BH69" s="336"/>
    </row>
    <row r="70" spans="1:60" ht="14.25" customHeight="1" x14ac:dyDescent="0.25">
      <c r="A70" s="462"/>
      <c r="B70" s="606" t="s">
        <v>500</v>
      </c>
      <c r="C70" s="268" t="s">
        <v>62</v>
      </c>
      <c r="D70" s="5">
        <v>0.9</v>
      </c>
      <c r="E70" s="4"/>
      <c r="F70" s="824" cm="1">
        <f t="array" ref="F70">IF(H70&lt;&gt;"", INDEX(H70:BH70, $G$2+1), IF(E70="", D70, E70))</f>
        <v>0.9</v>
      </c>
      <c r="G70" s="615" t="s">
        <v>501</v>
      </c>
      <c r="H70" s="170"/>
      <c r="I70" s="331"/>
      <c r="J70" s="331"/>
      <c r="K70" s="331"/>
      <c r="L70" s="331"/>
      <c r="M70" s="331"/>
      <c r="N70" s="331"/>
      <c r="O70" s="331"/>
      <c r="P70" s="331"/>
      <c r="Q70" s="331"/>
      <c r="R70" s="331"/>
      <c r="S70" s="331"/>
      <c r="T70" s="331"/>
      <c r="U70" s="331"/>
      <c r="V70" s="331"/>
      <c r="W70" s="331"/>
      <c r="X70" s="331"/>
      <c r="Y70" s="331"/>
      <c r="Z70" s="331"/>
      <c r="AA70" s="331"/>
      <c r="AB70" s="331"/>
      <c r="AC70" s="331"/>
      <c r="AD70" s="331"/>
      <c r="AE70" s="331"/>
      <c r="AF70" s="331"/>
      <c r="AG70" s="331"/>
      <c r="AH70" s="331"/>
      <c r="AI70" s="331"/>
      <c r="AJ70" s="331"/>
      <c r="AK70" s="331"/>
      <c r="AL70" s="331"/>
      <c r="AM70" s="331"/>
      <c r="AN70" s="331"/>
      <c r="AO70" s="331"/>
      <c r="AP70" s="331"/>
      <c r="AQ70" s="331"/>
      <c r="AR70" s="331"/>
      <c r="AS70" s="331"/>
      <c r="AT70" s="331"/>
      <c r="AU70" s="331"/>
      <c r="AV70" s="331"/>
      <c r="AW70" s="331"/>
      <c r="AX70" s="331"/>
      <c r="AY70" s="331"/>
      <c r="AZ70" s="331"/>
      <c r="BA70" s="331"/>
      <c r="BB70" s="331"/>
      <c r="BC70" s="331"/>
      <c r="BD70" s="331"/>
      <c r="BE70" s="331"/>
      <c r="BF70" s="331"/>
      <c r="BG70" s="331"/>
      <c r="BH70" s="336"/>
    </row>
    <row r="71" spans="1:60" ht="14.25" customHeight="1" x14ac:dyDescent="0.25">
      <c r="A71" s="462"/>
      <c r="B71" s="606" t="s">
        <v>311</v>
      </c>
      <c r="C71" s="268" t="s">
        <v>62</v>
      </c>
      <c r="D71" s="5">
        <v>0.75</v>
      </c>
      <c r="E71" s="4"/>
      <c r="F71" s="824" cm="1">
        <f t="array" ref="F71">IF(H71&lt;&gt;"", INDEX(H71:BH71, $G$2+1), IF(E71="", D71, E71))</f>
        <v>0.75</v>
      </c>
      <c r="G71" s="615" t="s">
        <v>286</v>
      </c>
      <c r="H71" s="170"/>
      <c r="I71" s="331"/>
      <c r="J71" s="331"/>
      <c r="K71" s="331"/>
      <c r="L71" s="331"/>
      <c r="M71" s="331"/>
      <c r="N71" s="331"/>
      <c r="O71" s="331"/>
      <c r="P71" s="331"/>
      <c r="Q71" s="331"/>
      <c r="R71" s="331"/>
      <c r="S71" s="331"/>
      <c r="T71" s="331"/>
      <c r="U71" s="331"/>
      <c r="V71" s="331"/>
      <c r="W71" s="331"/>
      <c r="X71" s="331"/>
      <c r="Y71" s="331"/>
      <c r="Z71" s="331"/>
      <c r="AA71" s="331"/>
      <c r="AB71" s="331"/>
      <c r="AC71" s="331"/>
      <c r="AD71" s="331"/>
      <c r="AE71" s="331"/>
      <c r="AF71" s="331"/>
      <c r="AG71" s="331"/>
      <c r="AH71" s="331"/>
      <c r="AI71" s="331"/>
      <c r="AJ71" s="331"/>
      <c r="AK71" s="331"/>
      <c r="AL71" s="331"/>
      <c r="AM71" s="331"/>
      <c r="AN71" s="331"/>
      <c r="AO71" s="331"/>
      <c r="AP71" s="331"/>
      <c r="AQ71" s="331"/>
      <c r="AR71" s="331"/>
      <c r="AS71" s="331"/>
      <c r="AT71" s="331"/>
      <c r="AU71" s="331"/>
      <c r="AV71" s="331"/>
      <c r="AW71" s="331"/>
      <c r="AX71" s="331"/>
      <c r="AY71" s="331"/>
      <c r="AZ71" s="331"/>
      <c r="BA71" s="331"/>
      <c r="BB71" s="331"/>
      <c r="BC71" s="331"/>
      <c r="BD71" s="331"/>
      <c r="BE71" s="331"/>
      <c r="BF71" s="331"/>
      <c r="BG71" s="331"/>
      <c r="BH71" s="336"/>
    </row>
    <row r="72" spans="1:60" ht="14.25" customHeight="1" x14ac:dyDescent="0.25">
      <c r="A72" s="462"/>
      <c r="B72" s="606" t="s">
        <v>312</v>
      </c>
      <c r="C72" s="268" t="s">
        <v>62</v>
      </c>
      <c r="D72" s="347">
        <f>F71^(1/F69)-100%</f>
        <v>-1.899606168258583E-2</v>
      </c>
      <c r="E72" s="4"/>
      <c r="F72" s="350" cm="1">
        <f t="array" ref="F72">IF(H72&lt;&gt;"", INDEX(H72:BH72, $G$2+1), IF(E72="", D72, E72))</f>
        <v>-1.899606168258583E-2</v>
      </c>
      <c r="G72" s="615" t="s">
        <v>289</v>
      </c>
      <c r="H72" s="170"/>
      <c r="I72" s="331"/>
      <c r="J72" s="331"/>
      <c r="K72" s="331"/>
      <c r="L72" s="331"/>
      <c r="M72" s="331"/>
      <c r="N72" s="331"/>
      <c r="O72" s="331"/>
      <c r="P72" s="331"/>
      <c r="Q72" s="331"/>
      <c r="R72" s="331"/>
      <c r="S72" s="331"/>
      <c r="T72" s="331"/>
      <c r="U72" s="331"/>
      <c r="V72" s="331"/>
      <c r="W72" s="331"/>
      <c r="X72" s="331"/>
      <c r="Y72" s="331"/>
      <c r="Z72" s="331"/>
      <c r="AA72" s="331"/>
      <c r="AB72" s="331"/>
      <c r="AC72" s="331"/>
      <c r="AD72" s="331"/>
      <c r="AE72" s="331"/>
      <c r="AF72" s="331"/>
      <c r="AG72" s="331"/>
      <c r="AH72" s="331"/>
      <c r="AI72" s="331"/>
      <c r="AJ72" s="331"/>
      <c r="AK72" s="331"/>
      <c r="AL72" s="331"/>
      <c r="AM72" s="331"/>
      <c r="AN72" s="331"/>
      <c r="AO72" s="331"/>
      <c r="AP72" s="331"/>
      <c r="AQ72" s="331"/>
      <c r="AR72" s="331"/>
      <c r="AS72" s="331"/>
      <c r="AT72" s="331"/>
      <c r="AU72" s="331"/>
      <c r="AV72" s="331"/>
      <c r="AW72" s="331"/>
      <c r="AX72" s="331"/>
      <c r="AY72" s="331"/>
      <c r="AZ72" s="331"/>
      <c r="BA72" s="331"/>
      <c r="BB72" s="331"/>
      <c r="BC72" s="331"/>
      <c r="BD72" s="331"/>
      <c r="BE72" s="331"/>
      <c r="BF72" s="331"/>
      <c r="BG72" s="331"/>
      <c r="BH72" s="336"/>
    </row>
    <row r="73" spans="1:60" ht="14.25" customHeight="1" x14ac:dyDescent="0.25">
      <c r="A73" s="462"/>
      <c r="B73" s="604" t="s">
        <v>498</v>
      </c>
      <c r="C73" s="268" t="s">
        <v>62</v>
      </c>
      <c r="D73" s="5">
        <v>1</v>
      </c>
      <c r="E73" s="4"/>
      <c r="F73" s="824" cm="1">
        <f t="array" ref="F73">IF(H73&lt;&gt;"", INDEX(H73:BH73, $G$2+1), IF(E73="", D73, E73))</f>
        <v>1</v>
      </c>
      <c r="G73" s="831" t="s">
        <v>291</v>
      </c>
      <c r="H73" s="555">
        <f>IF(ISBLANK(E73),D73,E73)</f>
        <v>1</v>
      </c>
      <c r="I73" s="344">
        <f>H73*(1+$F72)</f>
        <v>0.98100393831741417</v>
      </c>
      <c r="J73" s="344">
        <f t="shared" ref="J73:R73" si="6">I73*(1+$F72)</f>
        <v>0.96236872699427689</v>
      </c>
      <c r="K73" s="344">
        <f t="shared" si="6"/>
        <v>0.94408751129490198</v>
      </c>
      <c r="L73" s="344">
        <f t="shared" si="6"/>
        <v>0.92615356669658511</v>
      </c>
      <c r="M73" s="344">
        <f t="shared" si="6"/>
        <v>0.90856029641606995</v>
      </c>
      <c r="N73" s="344">
        <f t="shared" si="6"/>
        <v>0.89130122898300179</v>
      </c>
      <c r="O73" s="344">
        <f t="shared" si="6"/>
        <v>0.87437001585947616</v>
      </c>
      <c r="P73" s="344">
        <f t="shared" si="6"/>
        <v>0.85776042910480599</v>
      </c>
      <c r="Q73" s="344">
        <f t="shared" si="6"/>
        <v>0.84146635908464984</v>
      </c>
      <c r="R73" s="344">
        <f t="shared" si="6"/>
        <v>0.82548181222365691</v>
      </c>
      <c r="S73" s="344"/>
      <c r="T73" s="344"/>
      <c r="U73" s="344"/>
      <c r="V73" s="344"/>
      <c r="W73" s="344"/>
      <c r="X73" s="344"/>
      <c r="Y73" s="331"/>
      <c r="Z73" s="331"/>
      <c r="AA73" s="331"/>
      <c r="AB73" s="331"/>
      <c r="AC73" s="331"/>
      <c r="AD73" s="331"/>
      <c r="AE73" s="331"/>
      <c r="AF73" s="331"/>
      <c r="AG73" s="331"/>
      <c r="AH73" s="331"/>
      <c r="AI73" s="331"/>
      <c r="AJ73" s="331"/>
      <c r="AK73" s="331"/>
      <c r="AL73" s="331"/>
      <c r="AM73" s="331"/>
      <c r="AN73" s="331"/>
      <c r="AO73" s="331"/>
      <c r="AP73" s="331"/>
      <c r="AQ73" s="331"/>
      <c r="AR73" s="331"/>
      <c r="AS73" s="331"/>
      <c r="AT73" s="331"/>
      <c r="AU73" s="331"/>
      <c r="AV73" s="331"/>
      <c r="AW73" s="331"/>
      <c r="AX73" s="331"/>
      <c r="AY73" s="331"/>
      <c r="AZ73" s="331"/>
      <c r="BA73" s="331"/>
      <c r="BB73" s="331"/>
      <c r="BC73" s="331"/>
      <c r="BD73" s="331"/>
      <c r="BE73" s="331"/>
      <c r="BF73" s="331"/>
      <c r="BG73" s="331"/>
      <c r="BH73" s="336"/>
    </row>
    <row r="74" spans="1:60" ht="14.25" customHeight="1" thickBot="1" x14ac:dyDescent="0.3">
      <c r="A74" s="462"/>
      <c r="B74" s="825" t="s">
        <v>503</v>
      </c>
      <c r="C74" s="826" t="s">
        <v>62</v>
      </c>
      <c r="D74" s="827">
        <v>1</v>
      </c>
      <c r="E74" s="828"/>
      <c r="F74" s="829" cm="1">
        <f t="array" ref="F74">IF(H74&lt;&gt;"", INDEX(H74:BH74, $G$2+1), IF(E74="", D74, E74))</f>
        <v>0</v>
      </c>
      <c r="G74" s="830" t="s">
        <v>291</v>
      </c>
      <c r="H74" s="555">
        <v>0</v>
      </c>
      <c r="I74" s="344"/>
      <c r="J74" s="344"/>
      <c r="K74" s="344"/>
      <c r="L74" s="344"/>
      <c r="M74" s="344"/>
      <c r="N74" s="344"/>
      <c r="O74" s="344"/>
      <c r="P74" s="344"/>
      <c r="Q74" s="344"/>
      <c r="R74" s="344"/>
      <c r="S74" s="344">
        <f>100%</f>
        <v>1</v>
      </c>
      <c r="T74" s="344">
        <f t="shared" ref="T74" si="7">IF(ISNUMBER(S74),S74*(1+$F72),S74)</f>
        <v>0.98100393831741417</v>
      </c>
      <c r="U74" s="344">
        <f t="shared" ref="U74" si="8">IF(ISNUMBER(T74),T74*(1+$F72),T74)</f>
        <v>0.96236872699427689</v>
      </c>
      <c r="V74" s="344">
        <f t="shared" ref="V74" si="9">IF(ISNUMBER(U74),U74*(1+$F72),U74)</f>
        <v>0.94408751129490198</v>
      </c>
      <c r="W74" s="344">
        <f t="shared" ref="W74" si="10">IF(ISNUMBER(V74),V74*(1+$F72),V74)</f>
        <v>0.92615356669658511</v>
      </c>
      <c r="X74" s="344">
        <f t="shared" ref="X74" si="11">IF(ISNUMBER(W74),W74*(1+$F72),W74)</f>
        <v>0.90856029641606995</v>
      </c>
      <c r="Y74" s="344">
        <f t="shared" ref="Y74" si="12">IF(ISNUMBER(X74),X74*(1+$F72),X74)</f>
        <v>0.89130122898300179</v>
      </c>
      <c r="Z74" s="344">
        <f t="shared" ref="Z74" si="13">IF(ISNUMBER(Y74),Y74*(1+$F72),Y74)</f>
        <v>0.87437001585947616</v>
      </c>
      <c r="AA74" s="344">
        <f t="shared" ref="AA74" si="14">IF(ISNUMBER(Z74),Z74*(1+$F72),Z74)</f>
        <v>0.85776042910480599</v>
      </c>
      <c r="AB74" s="344">
        <f t="shared" ref="AB74" si="15">IF(ISNUMBER(AA74),AA74*(1+$F72),AA74)</f>
        <v>0.84146635908464984</v>
      </c>
      <c r="AC74" s="344">
        <f t="shared" ref="AC74" si="16">IF(ISNUMBER(AB74),AB74*(1+$F72),AB74)</f>
        <v>0.82548181222365691</v>
      </c>
      <c r="AD74" s="344">
        <f t="shared" ref="AD74" si="17">IF(ISNUMBER(AC74),AC74*(1+$F72),AC74)</f>
        <v>0.80980090880080358</v>
      </c>
      <c r="AE74" s="344">
        <f t="shared" ref="AE74" si="18">IF(ISNUMBER(AD74),AD74*(1+$F72),AD74)</f>
        <v>0.79441788078660946</v>
      </c>
      <c r="AF74" s="344">
        <f t="shared" ref="AF74" si="19">IF(ISNUMBER(AE74),AE74*(1+$F72),AE74)</f>
        <v>0.77932706972143795</v>
      </c>
      <c r="AG74" s="344">
        <f t="shared" ref="AG74" si="20">IF(ISNUMBER(AF74),AF74*(1+$F72),AF74)</f>
        <v>0.76452292463410065</v>
      </c>
      <c r="AH74" s="344"/>
      <c r="AI74" s="344"/>
      <c r="AJ74" s="344"/>
      <c r="AK74" s="344"/>
      <c r="AL74" s="344"/>
      <c r="AM74" s="344"/>
      <c r="AN74" s="344"/>
      <c r="AO74" s="344"/>
      <c r="AP74" s="344"/>
      <c r="AQ74" s="344"/>
      <c r="AR74" s="344"/>
      <c r="AS74" s="344"/>
      <c r="AT74" s="344"/>
      <c r="AU74" s="344"/>
      <c r="AV74" s="344"/>
      <c r="AW74" s="344"/>
      <c r="AX74" s="344"/>
      <c r="AY74" s="344"/>
      <c r="AZ74" s="344"/>
      <c r="BA74" s="344"/>
      <c r="BB74" s="344"/>
      <c r="BC74" s="344"/>
      <c r="BD74" s="344"/>
      <c r="BE74" s="344"/>
      <c r="BF74" s="344"/>
      <c r="BG74" s="344"/>
      <c r="BH74" s="345"/>
    </row>
    <row r="75" spans="1:60" x14ac:dyDescent="0.25">
      <c r="A75" s="462"/>
      <c r="B75" s="609" t="s">
        <v>41</v>
      </c>
      <c r="C75" s="583" t="s">
        <v>33</v>
      </c>
      <c r="D75" s="135">
        <v>5</v>
      </c>
      <c r="E75" s="242"/>
      <c r="F75" s="202" cm="1">
        <f t="array" ref="F75">IF(H75&lt;&gt;"", INDEX(H75:BH75, $G$2+1), IF(E75="", D75, E75))</f>
        <v>5</v>
      </c>
      <c r="G75" s="624" t="s">
        <v>266</v>
      </c>
      <c r="H75" s="170"/>
      <c r="I75" s="331"/>
      <c r="J75" s="331"/>
      <c r="K75" s="331"/>
      <c r="L75" s="331"/>
      <c r="M75" s="331"/>
      <c r="N75" s="331"/>
      <c r="O75" s="331"/>
      <c r="P75" s="331"/>
      <c r="Q75" s="331"/>
      <c r="R75" s="331"/>
      <c r="S75" s="331"/>
      <c r="T75" s="331"/>
      <c r="U75" s="331"/>
      <c r="V75" s="331"/>
      <c r="W75" s="331"/>
      <c r="X75" s="331"/>
      <c r="Y75" s="331"/>
      <c r="Z75" s="331"/>
      <c r="AA75" s="331"/>
      <c r="AB75" s="331"/>
      <c r="AC75" s="331"/>
      <c r="AD75" s="331"/>
      <c r="AE75" s="331"/>
      <c r="AF75" s="331"/>
      <c r="AG75" s="331"/>
      <c r="AH75" s="331"/>
      <c r="AI75" s="331"/>
      <c r="AJ75" s="331"/>
      <c r="AK75" s="331"/>
      <c r="AL75" s="331"/>
      <c r="AM75" s="331"/>
      <c r="AN75" s="331"/>
      <c r="AO75" s="331"/>
      <c r="AP75" s="331"/>
      <c r="AQ75" s="331"/>
      <c r="AR75" s="331"/>
      <c r="AS75" s="331"/>
      <c r="AT75" s="331"/>
      <c r="AU75" s="331"/>
      <c r="AV75" s="331"/>
      <c r="AW75" s="331"/>
      <c r="AX75" s="331"/>
      <c r="AY75" s="331"/>
      <c r="AZ75" s="331"/>
      <c r="BA75" s="331"/>
      <c r="BB75" s="331"/>
      <c r="BC75" s="331"/>
      <c r="BD75" s="331"/>
      <c r="BE75" s="331"/>
      <c r="BF75" s="331"/>
      <c r="BG75" s="331"/>
      <c r="BH75" s="336"/>
    </row>
    <row r="76" spans="1:60" x14ac:dyDescent="0.25">
      <c r="A76" s="462"/>
      <c r="B76" s="606" t="s">
        <v>313</v>
      </c>
      <c r="C76" s="268" t="s">
        <v>205</v>
      </c>
      <c r="D76" s="6">
        <v>15</v>
      </c>
      <c r="E76" s="4"/>
      <c r="F76" s="8" cm="1">
        <f t="array" ref="F76">IF(H76&lt;&gt;"", INDEX(H76:BH76, $G$2+1), IF(E76="", D76, E76))</f>
        <v>15</v>
      </c>
      <c r="G76" s="615" t="s">
        <v>286</v>
      </c>
      <c r="H76" s="170"/>
      <c r="I76" s="331"/>
      <c r="J76" s="331"/>
      <c r="K76" s="331"/>
      <c r="L76" s="331"/>
      <c r="M76" s="331"/>
      <c r="N76" s="331"/>
      <c r="O76" s="331"/>
      <c r="P76" s="331"/>
      <c r="Q76" s="331"/>
      <c r="R76" s="331"/>
      <c r="S76" s="331"/>
      <c r="T76" s="331"/>
      <c r="U76" s="331"/>
      <c r="V76" s="331"/>
      <c r="W76" s="331"/>
      <c r="X76" s="331"/>
      <c r="Y76" s="331"/>
      <c r="Z76" s="331"/>
      <c r="AA76" s="331"/>
      <c r="AB76" s="331"/>
      <c r="AC76" s="331"/>
      <c r="AD76" s="331"/>
      <c r="AE76" s="331"/>
      <c r="AF76" s="331"/>
      <c r="AG76" s="331"/>
      <c r="AH76" s="331"/>
      <c r="AI76" s="331"/>
      <c r="AJ76" s="331"/>
      <c r="AK76" s="331"/>
      <c r="AL76" s="331"/>
      <c r="AM76" s="331"/>
      <c r="AN76" s="331"/>
      <c r="AO76" s="331"/>
      <c r="AP76" s="331"/>
      <c r="AQ76" s="331"/>
      <c r="AR76" s="331"/>
      <c r="AS76" s="331"/>
      <c r="AT76" s="331"/>
      <c r="AU76" s="331"/>
      <c r="AV76" s="331"/>
      <c r="AW76" s="331"/>
      <c r="AX76" s="331"/>
      <c r="AY76" s="331"/>
      <c r="AZ76" s="331"/>
      <c r="BA76" s="331"/>
      <c r="BB76" s="331"/>
      <c r="BC76" s="331"/>
      <c r="BD76" s="331"/>
      <c r="BE76" s="331"/>
      <c r="BF76" s="331"/>
      <c r="BG76" s="331"/>
      <c r="BH76" s="336"/>
    </row>
    <row r="77" spans="1:60" x14ac:dyDescent="0.25">
      <c r="A77" s="462"/>
      <c r="B77" s="606" t="s">
        <v>314</v>
      </c>
      <c r="C77" s="268" t="s">
        <v>62</v>
      </c>
      <c r="D77" s="5">
        <v>0.85</v>
      </c>
      <c r="E77" s="4"/>
      <c r="F77" s="8" cm="1">
        <f t="array" ref="F77">IF(H77&lt;&gt;"", INDEX(H77:BH77, $G$2+1), IF(E77="", D77, E77))</f>
        <v>0.85</v>
      </c>
      <c r="G77" s="615" t="s">
        <v>286</v>
      </c>
      <c r="H77" s="170"/>
      <c r="I77" s="331"/>
      <c r="J77" s="331"/>
      <c r="K77" s="331"/>
      <c r="L77" s="331"/>
      <c r="M77" s="331"/>
      <c r="N77" s="331"/>
      <c r="O77" s="331"/>
      <c r="P77" s="331"/>
      <c r="Q77" s="331"/>
      <c r="R77" s="331"/>
      <c r="S77" s="331"/>
      <c r="T77" s="331"/>
      <c r="U77" s="331"/>
      <c r="V77" s="331"/>
      <c r="W77" s="331"/>
      <c r="X77" s="331"/>
      <c r="Y77" s="331"/>
      <c r="Z77" s="331"/>
      <c r="AA77" s="331"/>
      <c r="AB77" s="331"/>
      <c r="AC77" s="331"/>
      <c r="AD77" s="331"/>
      <c r="AE77" s="331"/>
      <c r="AF77" s="331"/>
      <c r="AG77" s="331"/>
      <c r="AH77" s="331"/>
      <c r="AI77" s="331"/>
      <c r="AJ77" s="331"/>
      <c r="AK77" s="331"/>
      <c r="AL77" s="331"/>
      <c r="AM77" s="331"/>
      <c r="AN77" s="331"/>
      <c r="AO77" s="331"/>
      <c r="AP77" s="331"/>
      <c r="AQ77" s="331"/>
      <c r="AR77" s="331"/>
      <c r="AS77" s="331"/>
      <c r="AT77" s="331"/>
      <c r="AU77" s="331"/>
      <c r="AV77" s="331"/>
      <c r="AW77" s="331"/>
      <c r="AX77" s="331"/>
      <c r="AY77" s="331"/>
      <c r="AZ77" s="331"/>
      <c r="BA77" s="331"/>
      <c r="BB77" s="331"/>
      <c r="BC77" s="331"/>
      <c r="BD77" s="331"/>
      <c r="BE77" s="331"/>
      <c r="BF77" s="331"/>
      <c r="BG77" s="331"/>
      <c r="BH77" s="336"/>
    </row>
    <row r="78" spans="1:60" x14ac:dyDescent="0.25">
      <c r="A78" s="462"/>
      <c r="B78" s="606" t="s">
        <v>315</v>
      </c>
      <c r="C78" s="268"/>
      <c r="D78" s="347">
        <f>F77^(1/F76)-100%</f>
        <v>-1.077611247533683E-2</v>
      </c>
      <c r="E78" s="4"/>
      <c r="F78" s="350" cm="1">
        <f t="array" ref="F78">IF(H78&lt;&gt;"", INDEX(H78:BH78, $G$2+1), IF(E78="", D78, E78))</f>
        <v>-1.077611247533683E-2</v>
      </c>
      <c r="G78" s="615" t="s">
        <v>289</v>
      </c>
      <c r="H78" s="170"/>
      <c r="I78" s="331"/>
      <c r="J78" s="331"/>
      <c r="K78" s="331"/>
      <c r="L78" s="331"/>
      <c r="M78" s="331"/>
      <c r="N78" s="331"/>
      <c r="O78" s="331"/>
      <c r="P78" s="331"/>
      <c r="Q78" s="331"/>
      <c r="R78" s="331"/>
      <c r="S78" s="331"/>
      <c r="T78" s="331"/>
      <c r="U78" s="331"/>
      <c r="V78" s="331"/>
      <c r="W78" s="331"/>
      <c r="X78" s="331"/>
      <c r="Y78" s="331"/>
      <c r="Z78" s="331"/>
      <c r="AA78" s="331"/>
      <c r="AB78" s="331"/>
      <c r="AC78" s="331"/>
      <c r="AD78" s="331"/>
      <c r="AE78" s="331"/>
      <c r="AF78" s="331"/>
      <c r="AG78" s="331"/>
      <c r="AH78" s="331"/>
      <c r="AI78" s="331"/>
      <c r="AJ78" s="331"/>
      <c r="AK78" s="331"/>
      <c r="AL78" s="331"/>
      <c r="AM78" s="331"/>
      <c r="AN78" s="331"/>
      <c r="AO78" s="331"/>
      <c r="AP78" s="331"/>
      <c r="AQ78" s="331"/>
      <c r="AR78" s="331"/>
      <c r="AS78" s="331"/>
      <c r="AT78" s="331"/>
      <c r="AU78" s="331"/>
      <c r="AV78" s="331"/>
      <c r="AW78" s="331"/>
      <c r="AX78" s="331"/>
      <c r="AY78" s="331"/>
      <c r="AZ78" s="331"/>
      <c r="BA78" s="331"/>
      <c r="BB78" s="331"/>
      <c r="BC78" s="331"/>
      <c r="BD78" s="331"/>
      <c r="BE78" s="331"/>
      <c r="BF78" s="331"/>
      <c r="BG78" s="331"/>
      <c r="BH78" s="336"/>
    </row>
    <row r="79" spans="1:60" ht="15.75" thickBot="1" x14ac:dyDescent="0.3">
      <c r="A79" s="462"/>
      <c r="B79" s="610" t="s">
        <v>499</v>
      </c>
      <c r="C79" s="584"/>
      <c r="D79" s="585">
        <v>1</v>
      </c>
      <c r="E79" s="246"/>
      <c r="F79" s="586" cm="1">
        <f t="array" ref="F79">IF(H79&lt;&gt;"", INDEX(H79:BH79, $G$2+1), IF(E79="", D79, E79))</f>
        <v>1</v>
      </c>
      <c r="G79" s="620" t="s">
        <v>291</v>
      </c>
      <c r="H79" s="555">
        <f>IF(ISBLANK(E79),D79,E79)</f>
        <v>1</v>
      </c>
      <c r="I79" s="344">
        <f t="shared" ref="I79" si="21">IF(ISNUMBER(H79),H79*(1+$F78),H79)</f>
        <v>0.98922388752466317</v>
      </c>
      <c r="J79" s="344">
        <f t="shared" ref="J79" si="22">IF(ISNUMBER(I79),I79*(1+$F78),I79)</f>
        <v>0.97856389964940749</v>
      </c>
      <c r="K79" s="344">
        <f t="shared" ref="K79" si="23">IF(ISNUMBER(J79),J79*(1+$F78),J79)</f>
        <v>0.96801878500248129</v>
      </c>
      <c r="L79" s="344">
        <f t="shared" ref="L79" si="24">IF(ISNUMBER(K79),K79*(1+$F78),K79)</f>
        <v>0.95758730569705564</v>
      </c>
      <c r="M79" s="344">
        <f t="shared" ref="M79" si="25">IF(ISNUMBER(L79),L79*(1+$F78),L79)</f>
        <v>0.94726823718590936</v>
      </c>
      <c r="N79" s="344">
        <f t="shared" ref="N79" si="26">IF(ISNUMBER(M79),M79*(1+$F78),M79)</f>
        <v>0.9370603681176799</v>
      </c>
      <c r="O79" s="344">
        <f t="shared" ref="O79" si="27">IF(ISNUMBER(N79),N79*(1+$F78),N79)</f>
        <v>0.9269625001946632</v>
      </c>
      <c r="P79" s="344">
        <f t="shared" ref="P79" si="28">IF(ISNUMBER(O79),O79*(1+$F78),O79)</f>
        <v>0.91697344803214609</v>
      </c>
      <c r="Q79" s="344">
        <f t="shared" ref="Q79" si="29">IF(ISNUMBER(P79),P79*(1+$F78),P79)</f>
        <v>0.90709203901925428</v>
      </c>
      <c r="R79" s="344">
        <f t="shared" ref="R79" si="30">IF(ISNUMBER(Q79),Q79*(1+$F78),Q79)</f>
        <v>0.89731711318130014</v>
      </c>
      <c r="S79" s="344">
        <f t="shared" ref="S79" si="31">IF(ISNUMBER(R79),R79*(1+$F78),R79)</f>
        <v>0.88764752304361394</v>
      </c>
      <c r="T79" s="344">
        <f t="shared" ref="T79" si="32">IF(ISNUMBER(S79),S79*(1+$F78),S79)</f>
        <v>0.87808213349684183</v>
      </c>
      <c r="U79" s="344">
        <f t="shared" ref="U79" si="33">IF(ISNUMBER(T79),T79*(1+$F78),T79)</f>
        <v>0.86861982166369611</v>
      </c>
      <c r="V79" s="344">
        <f t="shared" ref="V79" si="34">IF(ISNUMBER(U79),U79*(1+$F78),U79)</f>
        <v>0.85925947676714109</v>
      </c>
      <c r="W79" s="344">
        <f t="shared" ref="W79" si="35">IF(ISNUMBER(V79),V79*(1+$F78),V79)</f>
        <v>0.84999999999999931</v>
      </c>
      <c r="X79" s="344">
        <f t="shared" ref="X79" si="36">IF(ISNUMBER(W79),W79*(1+$F78),W79)</f>
        <v>0.84084030439596302</v>
      </c>
      <c r="Y79" s="344"/>
      <c r="Z79" s="344"/>
      <c r="AA79" s="344"/>
      <c r="AB79" s="344"/>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4"/>
      <c r="AY79" s="344"/>
      <c r="AZ79" s="344"/>
      <c r="BA79" s="344"/>
      <c r="BB79" s="344"/>
      <c r="BC79" s="344"/>
      <c r="BD79" s="344"/>
      <c r="BE79" s="344"/>
      <c r="BF79" s="344"/>
      <c r="BG79" s="344"/>
      <c r="BH79" s="344"/>
    </row>
    <row r="80" spans="1:60" ht="14.25" customHeight="1" x14ac:dyDescent="0.25">
      <c r="A80" s="462"/>
      <c r="B80" s="603" t="s">
        <v>316</v>
      </c>
      <c r="C80" s="240" t="s">
        <v>317</v>
      </c>
      <c r="D80" s="241">
        <v>700000</v>
      </c>
      <c r="E80" s="241"/>
      <c r="F80" s="364" cm="1">
        <f t="array" ref="F80">IF(H80&lt;&gt;"", INDEX(H80:BH80, $G$2+1), IF(E80="", D80, E80))</f>
        <v>700000</v>
      </c>
      <c r="G80" s="613" t="s">
        <v>318</v>
      </c>
      <c r="H80" s="170"/>
      <c r="I80" s="331"/>
      <c r="J80" s="331"/>
      <c r="K80" s="331"/>
      <c r="L80" s="331"/>
      <c r="M80" s="331"/>
      <c r="N80" s="331"/>
      <c r="O80" s="331"/>
      <c r="P80" s="331"/>
      <c r="Q80" s="331"/>
      <c r="R80" s="331"/>
      <c r="S80" s="331"/>
      <c r="T80" s="331"/>
      <c r="U80" s="331"/>
      <c r="V80" s="331"/>
      <c r="W80" s="331"/>
      <c r="X80" s="331"/>
      <c r="Y80" s="331"/>
      <c r="Z80" s="331"/>
      <c r="AA80" s="331"/>
      <c r="AB80" s="331"/>
      <c r="AC80" s="331"/>
      <c r="AD80" s="331"/>
      <c r="AE80" s="331"/>
      <c r="AF80" s="331"/>
      <c r="AG80" s="331"/>
      <c r="AH80" s="331"/>
      <c r="AI80" s="331"/>
      <c r="AJ80" s="331"/>
      <c r="AK80" s="331"/>
      <c r="AL80" s="331"/>
      <c r="AM80" s="331"/>
      <c r="AN80" s="331"/>
      <c r="AO80" s="331"/>
      <c r="AP80" s="331"/>
      <c r="AQ80" s="331"/>
      <c r="AR80" s="331"/>
      <c r="AS80" s="331"/>
      <c r="AT80" s="331"/>
      <c r="AU80" s="331"/>
      <c r="AV80" s="331"/>
      <c r="AW80" s="331"/>
      <c r="AX80" s="331"/>
      <c r="AY80" s="331"/>
      <c r="AZ80" s="331"/>
      <c r="BA80" s="331"/>
      <c r="BB80" s="331"/>
      <c r="BC80" s="331"/>
      <c r="BD80" s="331"/>
      <c r="BE80" s="331"/>
      <c r="BF80" s="331"/>
      <c r="BG80" s="331"/>
      <c r="BH80" s="336"/>
    </row>
    <row r="81" spans="1:60" x14ac:dyDescent="0.25">
      <c r="A81" s="462"/>
      <c r="B81" s="604" t="s">
        <v>319</v>
      </c>
      <c r="C81" s="184" t="s">
        <v>35</v>
      </c>
      <c r="D81" s="4">
        <v>100</v>
      </c>
      <c r="E81" s="4"/>
      <c r="F81" s="30" cm="1">
        <f t="array" ref="F81">IF(H81&lt;&gt;"", INDEX(H81:BH81, $G$2+1), IF(E81="", D81, E81))</f>
        <v>100</v>
      </c>
      <c r="G81" s="615" t="s">
        <v>296</v>
      </c>
      <c r="H81" s="370"/>
      <c r="I81" s="326"/>
      <c r="J81" s="326"/>
      <c r="K81" s="326"/>
      <c r="L81" s="326"/>
      <c r="M81" s="326"/>
      <c r="N81" s="326"/>
      <c r="O81" s="326"/>
      <c r="P81" s="326"/>
      <c r="Q81" s="326"/>
      <c r="R81" s="326"/>
      <c r="S81" s="326"/>
      <c r="T81" s="326"/>
      <c r="U81" s="326"/>
      <c r="V81" s="326"/>
      <c r="W81" s="326"/>
      <c r="X81" s="326"/>
      <c r="Y81" s="326"/>
      <c r="Z81" s="326"/>
      <c r="AA81" s="326"/>
      <c r="AB81" s="326"/>
      <c r="AC81" s="326"/>
      <c r="AD81" s="326"/>
      <c r="AE81" s="326"/>
      <c r="AF81" s="326"/>
      <c r="AG81" s="326"/>
      <c r="AH81" s="326"/>
      <c r="AI81" s="326"/>
      <c r="AJ81" s="326"/>
      <c r="AK81" s="326"/>
      <c r="AL81" s="326"/>
      <c r="AM81" s="326"/>
      <c r="AN81" s="326"/>
      <c r="AO81" s="326"/>
      <c r="AP81" s="326"/>
      <c r="AQ81" s="326"/>
      <c r="AR81" s="326"/>
      <c r="AS81" s="326"/>
      <c r="AT81" s="326"/>
      <c r="AU81" s="326"/>
      <c r="AV81" s="326"/>
      <c r="AW81" s="326"/>
      <c r="AX81" s="326"/>
      <c r="AY81" s="326"/>
      <c r="AZ81" s="326"/>
      <c r="BA81" s="326"/>
      <c r="BB81" s="326"/>
      <c r="BC81" s="326"/>
      <c r="BD81" s="326"/>
      <c r="BE81" s="326"/>
      <c r="BF81" s="326"/>
      <c r="BG81" s="326"/>
      <c r="BH81" s="327"/>
    </row>
    <row r="82" spans="1:60" x14ac:dyDescent="0.25">
      <c r="A82" s="462"/>
      <c r="B82" s="604" t="s">
        <v>320</v>
      </c>
      <c r="C82" s="184" t="s">
        <v>98</v>
      </c>
      <c r="D82" s="4">
        <v>10000</v>
      </c>
      <c r="E82" s="4"/>
      <c r="F82" s="30" cm="1">
        <f t="array" ref="F82">IF(H82&lt;&gt;"", INDEX(H82:BH82, $G$2+1), IF(E82="", D82, E82))</f>
        <v>10000</v>
      </c>
      <c r="G82" s="615" t="s">
        <v>277</v>
      </c>
      <c r="H82" s="370"/>
      <c r="I82" s="326"/>
      <c r="J82" s="326"/>
      <c r="K82" s="326"/>
      <c r="L82" s="326"/>
      <c r="M82" s="326"/>
      <c r="N82" s="326"/>
      <c r="O82" s="326"/>
      <c r="P82" s="326"/>
      <c r="Q82" s="326"/>
      <c r="R82" s="326"/>
      <c r="S82" s="326"/>
      <c r="T82" s="326"/>
      <c r="U82" s="326"/>
      <c r="V82" s="326"/>
      <c r="W82" s="326"/>
      <c r="X82" s="326"/>
      <c r="Y82" s="326"/>
      <c r="Z82" s="326"/>
      <c r="AA82" s="326"/>
      <c r="AB82" s="326"/>
      <c r="AC82" s="326"/>
      <c r="AD82" s="326"/>
      <c r="AE82" s="326"/>
      <c r="AF82" s="326"/>
      <c r="AG82" s="326"/>
      <c r="AH82" s="326"/>
      <c r="AI82" s="326"/>
      <c r="AJ82" s="326"/>
      <c r="AK82" s="326"/>
      <c r="AL82" s="326"/>
      <c r="AM82" s="326"/>
      <c r="AN82" s="326"/>
      <c r="AO82" s="326"/>
      <c r="AP82" s="326"/>
      <c r="AQ82" s="326"/>
      <c r="AR82" s="326"/>
      <c r="AS82" s="326"/>
      <c r="AT82" s="326"/>
      <c r="AU82" s="326"/>
      <c r="AV82" s="326"/>
      <c r="AW82" s="326"/>
      <c r="AX82" s="326"/>
      <c r="AY82" s="326"/>
      <c r="AZ82" s="326"/>
      <c r="BA82" s="326"/>
      <c r="BB82" s="326"/>
      <c r="BC82" s="326"/>
      <c r="BD82" s="326"/>
      <c r="BE82" s="326"/>
      <c r="BF82" s="326"/>
      <c r="BG82" s="326"/>
      <c r="BH82" s="327"/>
    </row>
    <row r="83" spans="1:60" ht="30" x14ac:dyDescent="0.25">
      <c r="A83" s="462"/>
      <c r="B83" s="604" t="s">
        <v>321</v>
      </c>
      <c r="C83" s="184" t="s">
        <v>322</v>
      </c>
      <c r="D83" s="587">
        <f>365*0.5</f>
        <v>182.5</v>
      </c>
      <c r="E83" s="4"/>
      <c r="F83" s="405" cm="1">
        <f t="array" ref="F83">IF(H83&lt;&gt;"", INDEX(H83:BH83, $G$2+1), IF(E83="", D83, E83))</f>
        <v>182.5</v>
      </c>
      <c r="G83" s="615" t="s">
        <v>323</v>
      </c>
      <c r="H83" s="370"/>
      <c r="I83" s="326"/>
      <c r="J83" s="326"/>
      <c r="K83" s="326"/>
      <c r="L83" s="326"/>
      <c r="M83" s="326"/>
      <c r="N83" s="326"/>
      <c r="O83" s="326"/>
      <c r="P83" s="326"/>
      <c r="Q83" s="326"/>
      <c r="R83" s="326"/>
      <c r="S83" s="326"/>
      <c r="T83" s="326"/>
      <c r="U83" s="326"/>
      <c r="V83" s="326"/>
      <c r="W83" s="326"/>
      <c r="X83" s="326"/>
      <c r="Y83" s="326"/>
      <c r="Z83" s="326"/>
      <c r="AA83" s="326"/>
      <c r="AB83" s="326"/>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6"/>
      <c r="AY83" s="326"/>
      <c r="AZ83" s="326"/>
      <c r="BA83" s="326"/>
      <c r="BB83" s="326"/>
      <c r="BC83" s="326"/>
      <c r="BD83" s="326"/>
      <c r="BE83" s="326"/>
      <c r="BF83" s="326"/>
      <c r="BG83" s="326"/>
      <c r="BH83" s="327"/>
    </row>
    <row r="84" spans="1:60" x14ac:dyDescent="0.25">
      <c r="A84" s="462"/>
      <c r="B84" s="611" t="s">
        <v>324</v>
      </c>
      <c r="C84" s="184" t="s">
        <v>325</v>
      </c>
      <c r="D84" s="4">
        <v>30000</v>
      </c>
      <c r="E84" s="4"/>
      <c r="F84" s="30" cm="1">
        <f t="array" ref="F84">IF(H84&lt;&gt;"", INDEX(H84:BH84, $G$2+1), IF(E84="", D84, E84))</f>
        <v>30000</v>
      </c>
      <c r="G84" s="615" t="s">
        <v>326</v>
      </c>
      <c r="H84" s="370"/>
      <c r="I84" s="326"/>
      <c r="J84" s="326"/>
      <c r="K84" s="326"/>
      <c r="L84" s="326"/>
      <c r="M84" s="326"/>
      <c r="N84" s="326"/>
      <c r="O84" s="326"/>
      <c r="P84" s="326"/>
      <c r="Q84" s="326"/>
      <c r="R84" s="326"/>
      <c r="S84" s="326"/>
      <c r="T84" s="326"/>
      <c r="U84" s="326"/>
      <c r="V84" s="326"/>
      <c r="W84" s="326"/>
      <c r="X84" s="326"/>
      <c r="Y84" s="326"/>
      <c r="Z84" s="326"/>
      <c r="AA84" s="326"/>
      <c r="AB84" s="326"/>
      <c r="AC84" s="326"/>
      <c r="AD84" s="326"/>
      <c r="AE84" s="326"/>
      <c r="AF84" s="326"/>
      <c r="AG84" s="326"/>
      <c r="AH84" s="326"/>
      <c r="AI84" s="326"/>
      <c r="AJ84" s="326"/>
      <c r="AK84" s="326"/>
      <c r="AL84" s="326"/>
      <c r="AM84" s="326"/>
      <c r="AN84" s="326"/>
      <c r="AO84" s="326"/>
      <c r="AP84" s="326"/>
      <c r="AQ84" s="326"/>
      <c r="AR84" s="326"/>
      <c r="AS84" s="326"/>
      <c r="AT84" s="326"/>
      <c r="AU84" s="326"/>
      <c r="AV84" s="326"/>
      <c r="AW84" s="326"/>
      <c r="AX84" s="326"/>
      <c r="AY84" s="326"/>
      <c r="AZ84" s="326"/>
      <c r="BA84" s="326"/>
      <c r="BB84" s="326"/>
      <c r="BC84" s="326"/>
      <c r="BD84" s="326"/>
      <c r="BE84" s="326"/>
      <c r="BF84" s="326"/>
      <c r="BG84" s="326"/>
      <c r="BH84" s="327"/>
    </row>
    <row r="85" spans="1:60" ht="15.75" thickBot="1" x14ac:dyDescent="0.3">
      <c r="A85" s="463"/>
      <c r="B85" s="612" t="s">
        <v>327</v>
      </c>
      <c r="C85" s="243" t="s">
        <v>328</v>
      </c>
      <c r="D85" s="246">
        <v>40000</v>
      </c>
      <c r="E85" s="246"/>
      <c r="F85" s="366" cm="1">
        <f t="array" ref="F85">IF(H85&lt;&gt;"", INDEX(H85:BH85, $G$2+1), IF(E85="", D85, E85))</f>
        <v>40000</v>
      </c>
      <c r="G85" s="622" t="s">
        <v>329</v>
      </c>
      <c r="H85" s="390"/>
      <c r="I85" s="390"/>
      <c r="J85" s="390"/>
      <c r="K85" s="390"/>
      <c r="L85" s="390"/>
      <c r="M85" s="390"/>
      <c r="N85" s="390"/>
      <c r="O85" s="390"/>
      <c r="P85" s="390"/>
      <c r="Q85" s="390"/>
      <c r="R85" s="390"/>
      <c r="S85" s="390"/>
      <c r="T85" s="390"/>
      <c r="U85" s="390"/>
      <c r="V85" s="390"/>
      <c r="W85" s="390"/>
      <c r="X85" s="390"/>
      <c r="Y85" s="390"/>
      <c r="Z85" s="390"/>
      <c r="AA85" s="390"/>
      <c r="AB85" s="390"/>
      <c r="AC85" s="390"/>
      <c r="AD85" s="390"/>
      <c r="AE85" s="390"/>
      <c r="AF85" s="390"/>
      <c r="AG85" s="390"/>
      <c r="AH85" s="390"/>
      <c r="AI85" s="390"/>
      <c r="AJ85" s="390"/>
      <c r="AK85" s="390"/>
      <c r="AL85" s="390"/>
      <c r="AM85" s="390"/>
      <c r="AN85" s="390"/>
      <c r="AO85" s="390"/>
      <c r="AP85" s="390"/>
      <c r="AQ85" s="390"/>
      <c r="AR85" s="390"/>
      <c r="AS85" s="390"/>
      <c r="AT85" s="390"/>
      <c r="AU85" s="390"/>
      <c r="AV85" s="390"/>
      <c r="AW85" s="390"/>
      <c r="AX85" s="390"/>
      <c r="AY85" s="390"/>
      <c r="AZ85" s="390"/>
      <c r="BA85" s="390"/>
      <c r="BB85" s="390"/>
      <c r="BC85" s="390"/>
      <c r="BD85" s="390"/>
      <c r="BE85" s="390"/>
      <c r="BF85" s="390"/>
      <c r="BG85" s="390"/>
      <c r="BH85" s="455"/>
    </row>
    <row r="86" spans="1:60" x14ac:dyDescent="0.25">
      <c r="A86" s="641" t="s">
        <v>330</v>
      </c>
      <c r="B86" s="605"/>
      <c r="C86" s="635"/>
      <c r="D86" s="638"/>
      <c r="E86" s="638"/>
      <c r="F86" s="638"/>
      <c r="G86" s="639"/>
      <c r="H86" s="171"/>
      <c r="I86" s="334"/>
      <c r="J86" s="334"/>
      <c r="K86" s="334"/>
      <c r="L86" s="334"/>
      <c r="M86" s="334"/>
      <c r="N86" s="334"/>
      <c r="O86" s="334"/>
      <c r="P86" s="334"/>
      <c r="Q86" s="334"/>
      <c r="R86" s="334"/>
      <c r="S86" s="334"/>
      <c r="T86" s="334"/>
      <c r="U86" s="334"/>
      <c r="V86" s="334"/>
      <c r="W86" s="334"/>
      <c r="X86" s="334"/>
      <c r="Y86" s="334"/>
      <c r="Z86" s="334"/>
      <c r="AA86" s="334"/>
      <c r="AB86" s="334"/>
      <c r="AC86" s="334"/>
      <c r="AD86" s="334"/>
      <c r="AE86" s="334"/>
      <c r="AF86" s="334"/>
      <c r="AG86" s="334"/>
      <c r="AH86" s="334"/>
      <c r="AI86" s="334"/>
      <c r="AJ86" s="334"/>
      <c r="AK86" s="334"/>
      <c r="AL86" s="334"/>
      <c r="AM86" s="334"/>
      <c r="AN86" s="334"/>
      <c r="AO86" s="334"/>
      <c r="AP86" s="334"/>
      <c r="AQ86" s="334"/>
      <c r="AR86" s="334"/>
      <c r="AS86" s="334"/>
      <c r="AT86" s="334"/>
      <c r="AU86" s="334"/>
      <c r="AV86" s="334"/>
      <c r="AW86" s="334"/>
      <c r="AX86" s="334"/>
      <c r="AY86" s="334"/>
      <c r="AZ86" s="334"/>
      <c r="BA86" s="334"/>
      <c r="BB86" s="334"/>
      <c r="BC86" s="334"/>
      <c r="BD86" s="334"/>
      <c r="BE86" s="334"/>
      <c r="BF86" s="334"/>
      <c r="BG86" s="334"/>
      <c r="BH86" s="335"/>
    </row>
    <row r="87" spans="1:60" ht="14.25" customHeight="1" x14ac:dyDescent="0.25">
      <c r="A87" s="462"/>
      <c r="B87" s="611" t="s">
        <v>331</v>
      </c>
      <c r="C87" s="184" t="s">
        <v>43</v>
      </c>
      <c r="D87" s="27">
        <v>3</v>
      </c>
      <c r="E87" s="4"/>
      <c r="F87" s="557" cm="1">
        <f t="array" ref="F87">IF(H87&lt;&gt;"", INDEX(H87:BH87, $G$2+1), IF(E87="", D87, E87))</f>
        <v>3</v>
      </c>
      <c r="G87" s="615" t="s">
        <v>266</v>
      </c>
      <c r="H87" s="170"/>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c r="AY87" s="170"/>
      <c r="AZ87" s="170"/>
      <c r="BA87" s="170"/>
      <c r="BB87" s="170"/>
      <c r="BC87" s="170"/>
      <c r="BD87" s="170"/>
      <c r="BE87" s="170"/>
      <c r="BF87" s="170"/>
      <c r="BG87" s="170"/>
      <c r="BH87" s="454"/>
    </row>
    <row r="88" spans="1:60" ht="14.65" customHeight="1" x14ac:dyDescent="0.25">
      <c r="A88" s="462"/>
      <c r="B88" s="604" t="s">
        <v>332</v>
      </c>
      <c r="C88" s="184" t="s">
        <v>62</v>
      </c>
      <c r="D88" s="5">
        <v>0.95</v>
      </c>
      <c r="E88" s="5"/>
      <c r="F88" s="359" cm="1">
        <f t="array" ref="F88">IF(H88&lt;&gt;"", INDEX(H88:BH88, $G$2+1), IF(E88="", D88, E88))</f>
        <v>0.95</v>
      </c>
      <c r="G88" s="616" t="s">
        <v>333</v>
      </c>
      <c r="H88" s="170"/>
      <c r="I88" s="331"/>
      <c r="J88" s="331"/>
      <c r="K88" s="331"/>
      <c r="L88" s="331"/>
      <c r="M88" s="331"/>
      <c r="N88" s="331"/>
      <c r="O88" s="331"/>
      <c r="P88" s="331"/>
      <c r="Q88" s="331"/>
      <c r="R88" s="331"/>
      <c r="S88" s="331"/>
      <c r="T88" s="331"/>
      <c r="U88" s="331"/>
      <c r="V88" s="331"/>
      <c r="W88" s="331"/>
      <c r="X88" s="331"/>
      <c r="Y88" s="331"/>
      <c r="Z88" s="331"/>
      <c r="AA88" s="331"/>
      <c r="AB88" s="331"/>
      <c r="AC88" s="331"/>
      <c r="AD88" s="331"/>
      <c r="AE88" s="331"/>
      <c r="AF88" s="331"/>
      <c r="AG88" s="331"/>
      <c r="AH88" s="331"/>
      <c r="AI88" s="331"/>
      <c r="AJ88" s="331"/>
      <c r="AK88" s="331"/>
      <c r="AL88" s="331"/>
      <c r="AM88" s="331"/>
      <c r="AN88" s="331"/>
      <c r="AO88" s="331"/>
      <c r="AP88" s="331"/>
      <c r="AQ88" s="331"/>
      <c r="AR88" s="331"/>
      <c r="AS88" s="331"/>
      <c r="AT88" s="331"/>
      <c r="AU88" s="331"/>
      <c r="AV88" s="331"/>
      <c r="AW88" s="331"/>
      <c r="AX88" s="331"/>
      <c r="AY88" s="331"/>
      <c r="AZ88" s="331"/>
      <c r="BA88" s="331"/>
      <c r="BB88" s="331"/>
      <c r="BC88" s="331"/>
      <c r="BD88" s="331"/>
      <c r="BE88" s="331"/>
      <c r="BF88" s="331"/>
      <c r="BG88" s="331"/>
      <c r="BH88" s="336"/>
    </row>
    <row r="89" spans="1:60" x14ac:dyDescent="0.25">
      <c r="A89" s="462"/>
      <c r="B89" s="611" t="s">
        <v>334</v>
      </c>
      <c r="C89" s="185" t="s">
        <v>335</v>
      </c>
      <c r="D89" s="4">
        <v>350000</v>
      </c>
      <c r="E89" s="4"/>
      <c r="F89" s="30" cm="1">
        <f t="array" ref="F89">IF(H89&lt;&gt;"", INDEX(H89:BH89, $G$2+1), IF(E89="", D89, E89))</f>
        <v>350000</v>
      </c>
      <c r="G89" s="615" t="s">
        <v>336</v>
      </c>
      <c r="H89" s="170"/>
      <c r="I89" s="331"/>
      <c r="J89" s="331"/>
      <c r="K89" s="331"/>
      <c r="L89" s="331"/>
      <c r="M89" s="331"/>
      <c r="N89" s="331"/>
      <c r="O89" s="331"/>
      <c r="P89" s="331"/>
      <c r="Q89" s="331"/>
      <c r="R89" s="331"/>
      <c r="S89" s="331"/>
      <c r="T89" s="331"/>
      <c r="U89" s="331"/>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331"/>
      <c r="AS89" s="331"/>
      <c r="AT89" s="331"/>
      <c r="AU89" s="331"/>
      <c r="AV89" s="331"/>
      <c r="AW89" s="331"/>
      <c r="AX89" s="331"/>
      <c r="AY89" s="331"/>
      <c r="AZ89" s="331"/>
      <c r="BA89" s="331"/>
      <c r="BB89" s="331"/>
      <c r="BC89" s="331"/>
      <c r="BD89" s="331"/>
      <c r="BE89" s="331"/>
      <c r="BF89" s="331"/>
      <c r="BG89" s="331"/>
      <c r="BH89" s="336"/>
    </row>
    <row r="90" spans="1:60" x14ac:dyDescent="0.25">
      <c r="A90" s="462"/>
      <c r="B90" s="611" t="s">
        <v>337</v>
      </c>
      <c r="C90" s="185" t="s">
        <v>338</v>
      </c>
      <c r="D90" s="4">
        <v>10</v>
      </c>
      <c r="E90" s="4"/>
      <c r="F90" s="30" cm="1">
        <f t="array" ref="F90">IF(H90&lt;&gt;"", INDEX(H90:BH90, $G$2+1), IF(E90="", D90, E90))</f>
        <v>10</v>
      </c>
      <c r="G90" s="615" t="s">
        <v>339</v>
      </c>
      <c r="H90" s="370"/>
      <c r="I90" s="326"/>
      <c r="J90" s="326"/>
      <c r="K90" s="326"/>
      <c r="L90" s="326"/>
      <c r="M90" s="326"/>
      <c r="N90" s="326"/>
      <c r="O90" s="326"/>
      <c r="P90" s="326"/>
      <c r="Q90" s="326"/>
      <c r="R90" s="326"/>
      <c r="S90" s="326"/>
      <c r="T90" s="326"/>
      <c r="U90" s="326"/>
      <c r="V90" s="326"/>
      <c r="W90" s="326"/>
      <c r="X90" s="326"/>
      <c r="Y90" s="326"/>
      <c r="Z90" s="326"/>
      <c r="AA90" s="326"/>
      <c r="AB90" s="326"/>
      <c r="AC90" s="326"/>
      <c r="AD90" s="326"/>
      <c r="AE90" s="326"/>
      <c r="AF90" s="326"/>
      <c r="AG90" s="326"/>
      <c r="AH90" s="326"/>
      <c r="AI90" s="326"/>
      <c r="AJ90" s="326"/>
      <c r="AK90" s="326"/>
      <c r="AL90" s="326"/>
      <c r="AM90" s="326"/>
      <c r="AN90" s="326"/>
      <c r="AO90" s="326"/>
      <c r="AP90" s="326"/>
      <c r="AQ90" s="326"/>
      <c r="AR90" s="326"/>
      <c r="AS90" s="326"/>
      <c r="AT90" s="326"/>
      <c r="AU90" s="326"/>
      <c r="AV90" s="326"/>
      <c r="AW90" s="326"/>
      <c r="AX90" s="326"/>
      <c r="AY90" s="326"/>
      <c r="AZ90" s="326"/>
      <c r="BA90" s="326"/>
      <c r="BB90" s="326"/>
      <c r="BC90" s="326"/>
      <c r="BD90" s="326"/>
      <c r="BE90" s="326"/>
      <c r="BF90" s="326"/>
      <c r="BG90" s="326"/>
      <c r="BH90" s="327"/>
    </row>
    <row r="91" spans="1:60" ht="15.75" thickBot="1" x14ac:dyDescent="0.3">
      <c r="A91" s="463"/>
      <c r="B91" s="371" t="s">
        <v>340</v>
      </c>
      <c r="C91" s="243" t="s">
        <v>98</v>
      </c>
      <c r="D91" s="246">
        <v>20000</v>
      </c>
      <c r="E91" s="246"/>
      <c r="F91" s="366" cm="1">
        <f t="array" ref="F91">IF(H91&lt;&gt;"", INDEX(H91:BH91, $G$2+1), IF(E91="", D91, E91))</f>
        <v>20000</v>
      </c>
      <c r="G91" s="622" t="s">
        <v>341</v>
      </c>
      <c r="H91" s="352"/>
      <c r="I91" s="338"/>
      <c r="J91" s="338"/>
      <c r="K91" s="338"/>
      <c r="L91" s="338"/>
      <c r="M91" s="338"/>
      <c r="N91" s="338"/>
      <c r="O91" s="338"/>
      <c r="P91" s="338"/>
      <c r="Q91" s="338"/>
      <c r="R91" s="338"/>
      <c r="S91" s="338"/>
      <c r="T91" s="338"/>
      <c r="U91" s="338"/>
      <c r="V91" s="338"/>
      <c r="W91" s="338"/>
      <c r="X91" s="338"/>
      <c r="Y91" s="338"/>
      <c r="Z91" s="338"/>
      <c r="AA91" s="338"/>
      <c r="AB91" s="338"/>
      <c r="AC91" s="338"/>
      <c r="AD91" s="338"/>
      <c r="AE91" s="338"/>
      <c r="AF91" s="338"/>
      <c r="AG91" s="338"/>
      <c r="AH91" s="338"/>
      <c r="AI91" s="338"/>
      <c r="AJ91" s="338"/>
      <c r="AK91" s="338"/>
      <c r="AL91" s="338"/>
      <c r="AM91" s="338"/>
      <c r="AN91" s="338"/>
      <c r="AO91" s="338"/>
      <c r="AP91" s="338"/>
      <c r="AQ91" s="338"/>
      <c r="AR91" s="338"/>
      <c r="AS91" s="338"/>
      <c r="AT91" s="338"/>
      <c r="AU91" s="338"/>
      <c r="AV91" s="338"/>
      <c r="AW91" s="338"/>
      <c r="AX91" s="338"/>
      <c r="AY91" s="338"/>
      <c r="AZ91" s="338"/>
      <c r="BA91" s="338"/>
      <c r="BB91" s="338"/>
      <c r="BC91" s="338"/>
      <c r="BD91" s="338"/>
      <c r="BE91" s="338"/>
      <c r="BF91" s="338"/>
      <c r="BG91" s="338"/>
      <c r="BH91" s="339"/>
    </row>
  </sheetData>
  <mergeCells count="1">
    <mergeCell ref="A3:B3"/>
  </mergeCells>
  <conditionalFormatting sqref="F5:F16 F18:F24 F26:F32 F34:F40 F42:F48 F50:F57 F59:F66 F68:F85 F87:F91">
    <cfRule type="expression" dxfId="16" priority="2">
      <formula>NOT(_xlfn.ISFORMULA(F5))</formula>
    </cfRule>
  </conditionalFormatting>
  <conditionalFormatting sqref="H73:R73">
    <cfRule type="expression" dxfId="15" priority="3">
      <formula>NOT(_xlfn.ISFORMULA(H73))</formula>
    </cfRule>
  </conditionalFormatting>
  <conditionalFormatting sqref="H79:X79">
    <cfRule type="expression" dxfId="14" priority="9">
      <formula>NOT(_xlfn.ISFORMULA(H79))</formula>
    </cfRule>
  </conditionalFormatting>
  <conditionalFormatting sqref="H53:BH53 H56:BH56">
    <cfRule type="expression" dxfId="13" priority="26">
      <formula>NOT(_xlfn.ISFORMULA(H53))</formula>
    </cfRule>
  </conditionalFormatting>
  <conditionalFormatting sqref="H62:BH62">
    <cfRule type="expression" dxfId="12" priority="1">
      <formula>NOT(_xlfn.ISFORMULA(H62))</formula>
    </cfRule>
  </conditionalFormatting>
  <conditionalFormatting sqref="S74:AG74">
    <cfRule type="expression" dxfId="11" priority="10">
      <formula>NOT(_xlfn.ISFORMULA(S74))</formula>
    </cfRule>
  </conditionalFormatting>
  <dataValidations disablePrompts="1" count="1">
    <dataValidation type="list" allowBlank="1" showInputMessage="1" showErrorMessage="1" sqref="E15 E13" xr:uid="{ECA4C02A-899F-4128-A18F-437F9CEB9431}">
      <formula1>"North,EW"</formula1>
    </dataValidation>
  </dataValidations>
  <hyperlinks>
    <hyperlink ref="G64" r:id="rId1" xr:uid="{EF1319DE-73FB-4A80-90B0-81F305FFA10A}"/>
    <hyperlink ref="G15" r:id="rId2" xr:uid="{A55683C2-24AF-485B-B0D5-89585A55AE9E}"/>
    <hyperlink ref="G13" r:id="rId3" xr:uid="{C93BA853-F984-4B94-96B9-D2E68AD3716C}"/>
    <hyperlink ref="G14" r:id="rId4" xr:uid="{D03ED2E5-EC66-480E-B359-02154DB526C2}"/>
    <hyperlink ref="G16" r:id="rId5" xr:uid="{66E05D6A-6DB2-4CD9-BDAE-F18F6CB15CA3}"/>
  </hyperlinks>
  <pageMargins left="0.7" right="0.7" top="0.75" bottom="0.75" header="0.3" footer="0.3"/>
  <pageSetup paperSize="9" orientation="portrait" r:id="rId6"/>
  <headerFooter>
    <oddHeader>&amp;C&amp;"Calibri"&amp;10&amp;KFF0000 OFFICIAL&amp;1#_x000D_</oddHeader>
  </headerFooter>
  <legacy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3F4CB-5996-4F2A-A384-B26A418A644F}">
  <sheetPr codeName="Sheet3">
    <pageSetUpPr fitToPage="1"/>
  </sheetPr>
  <dimension ref="A1:AH171"/>
  <sheetViews>
    <sheetView zoomScaleNormal="100" workbookViewId="0">
      <pane xSplit="2" ySplit="3" topLeftCell="C93" activePane="bottomRight" state="frozen"/>
      <selection pane="topRight" activeCell="C1" sqref="C1"/>
      <selection pane="bottomLeft" activeCell="A4" sqref="A4"/>
      <selection pane="bottomRight" activeCell="Q117" sqref="Q117"/>
    </sheetView>
  </sheetViews>
  <sheetFormatPr defaultColWidth="9" defaultRowHeight="15" x14ac:dyDescent="0.25"/>
  <cols>
    <col min="1" max="1" width="4.140625" customWidth="1"/>
    <col min="2" max="2" width="4.85546875" customWidth="1"/>
    <col min="3" max="3" width="42.140625" customWidth="1"/>
    <col min="4" max="4" width="12" customWidth="1"/>
    <col min="5" max="23" width="11.5703125" customWidth="1"/>
    <col min="24" max="24" width="11.5703125" style="18" customWidth="1"/>
    <col min="25" max="25" width="11.5703125" customWidth="1"/>
    <col min="26" max="26" width="12.7109375" bestFit="1" customWidth="1"/>
    <col min="27" max="27" width="13" bestFit="1" customWidth="1"/>
    <col min="28" max="28" width="12.28515625" bestFit="1" customWidth="1"/>
    <col min="29" max="29" width="13" customWidth="1"/>
    <col min="30" max="30" width="12.28515625" customWidth="1"/>
    <col min="31" max="31" width="26" customWidth="1"/>
    <col min="32" max="32" width="15.28515625" customWidth="1"/>
    <col min="33" max="33" width="10.5703125" bestFit="1" customWidth="1"/>
    <col min="34" max="34" width="44.5703125" bestFit="1" customWidth="1"/>
    <col min="35" max="35" width="10" bestFit="1" customWidth="1"/>
    <col min="36" max="36" width="40" bestFit="1" customWidth="1"/>
    <col min="38" max="38" width="49.85546875" bestFit="1" customWidth="1"/>
  </cols>
  <sheetData>
    <row r="1" spans="1:30" ht="22.5" customHeight="1" thickBot="1" x14ac:dyDescent="0.45">
      <c r="D1" s="18"/>
      <c r="E1" s="696" t="s">
        <v>5</v>
      </c>
      <c r="F1" s="697"/>
      <c r="G1" s="697"/>
      <c r="H1" s="697"/>
      <c r="I1" s="697"/>
      <c r="J1" s="697"/>
      <c r="K1" s="697"/>
      <c r="L1" s="697"/>
      <c r="M1" s="697"/>
      <c r="N1" s="697"/>
      <c r="O1" s="697"/>
      <c r="P1" s="697"/>
      <c r="Q1" s="697"/>
      <c r="R1" s="697"/>
      <c r="S1" s="697"/>
      <c r="T1" s="697"/>
      <c r="U1" s="697"/>
      <c r="V1" s="697"/>
      <c r="W1" s="697"/>
      <c r="X1" s="697"/>
      <c r="Y1" s="683"/>
      <c r="Z1" s="207"/>
      <c r="AA1" s="698" t="s">
        <v>6</v>
      </c>
      <c r="AB1" s="699"/>
      <c r="AC1" s="700"/>
    </row>
    <row r="2" spans="1:30" ht="72" customHeight="1" thickBot="1" x14ac:dyDescent="0.45">
      <c r="A2" s="861"/>
      <c r="B2" s="861"/>
      <c r="C2" s="861"/>
      <c r="D2" s="208"/>
      <c r="E2" s="440" t="s">
        <v>7</v>
      </c>
      <c r="F2" s="441" t="s">
        <v>8</v>
      </c>
      <c r="G2" s="441" t="s">
        <v>9</v>
      </c>
      <c r="H2" s="441" t="s">
        <v>10</v>
      </c>
      <c r="I2" s="441" t="s">
        <v>11</v>
      </c>
      <c r="J2" s="441" t="s">
        <v>13</v>
      </c>
      <c r="K2" s="441" t="s">
        <v>12</v>
      </c>
      <c r="L2" s="441" t="s">
        <v>502</v>
      </c>
      <c r="M2" s="441" t="s">
        <v>14</v>
      </c>
      <c r="N2" s="442" t="s">
        <v>15</v>
      </c>
      <c r="O2" s="442" t="s">
        <v>15</v>
      </c>
      <c r="P2" s="442" t="s">
        <v>15</v>
      </c>
      <c r="Q2" s="442" t="s">
        <v>15</v>
      </c>
      <c r="R2" s="442" t="s">
        <v>15</v>
      </c>
      <c r="S2" s="442" t="s">
        <v>15</v>
      </c>
      <c r="T2" s="442" t="s">
        <v>15</v>
      </c>
      <c r="U2" s="442" t="s">
        <v>15</v>
      </c>
      <c r="V2" s="442" t="s">
        <v>15</v>
      </c>
      <c r="W2" s="442" t="s">
        <v>15</v>
      </c>
      <c r="X2" s="442" t="s">
        <v>15</v>
      </c>
      <c r="Y2" s="443" t="s">
        <v>16</v>
      </c>
      <c r="Z2" s="208"/>
      <c r="AA2" s="206" t="s">
        <v>17</v>
      </c>
      <c r="AB2" s="178" t="s">
        <v>18</v>
      </c>
      <c r="AC2" s="98" t="s">
        <v>19</v>
      </c>
      <c r="AD2" s="98" t="s">
        <v>20</v>
      </c>
    </row>
    <row r="3" spans="1:30" s="236" customFormat="1" ht="15" customHeight="1" thickBot="1" x14ac:dyDescent="0.3">
      <c r="C3" s="235" t="s">
        <v>21</v>
      </c>
      <c r="D3" s="209" t="s">
        <v>22</v>
      </c>
      <c r="E3" s="444">
        <v>1</v>
      </c>
      <c r="F3" s="249">
        <v>1</v>
      </c>
      <c r="G3" s="249">
        <v>1</v>
      </c>
      <c r="H3" s="249">
        <v>1</v>
      </c>
      <c r="I3" s="249">
        <v>1</v>
      </c>
      <c r="J3" s="249">
        <v>1</v>
      </c>
      <c r="K3" s="249">
        <v>1</v>
      </c>
      <c r="L3" s="249">
        <v>1</v>
      </c>
      <c r="M3" s="249">
        <v>1</v>
      </c>
      <c r="N3" s="250">
        <v>1</v>
      </c>
      <c r="O3" s="250">
        <v>1</v>
      </c>
      <c r="P3" s="250">
        <v>1</v>
      </c>
      <c r="Q3" s="250">
        <v>1</v>
      </c>
      <c r="R3" s="250">
        <v>1</v>
      </c>
      <c r="S3" s="250">
        <v>1</v>
      </c>
      <c r="T3" s="250">
        <v>1</v>
      </c>
      <c r="U3" s="250">
        <v>1</v>
      </c>
      <c r="V3" s="250">
        <v>1</v>
      </c>
      <c r="W3" s="250">
        <v>1</v>
      </c>
      <c r="X3" s="250">
        <v>1</v>
      </c>
      <c r="Y3" s="445">
        <f>SUM(E3:X3)</f>
        <v>20</v>
      </c>
      <c r="Z3" s="218" t="s">
        <v>23</v>
      </c>
      <c r="AA3" s="237" t="s">
        <v>24</v>
      </c>
      <c r="AB3" s="238" t="s">
        <v>25</v>
      </c>
      <c r="AC3" s="239" t="s">
        <v>26</v>
      </c>
      <c r="AD3" s="239" t="s">
        <v>27</v>
      </c>
    </row>
    <row r="4" spans="1:30" s="236" customFormat="1" ht="21" x14ac:dyDescent="0.25">
      <c r="A4" s="740" t="s">
        <v>475</v>
      </c>
      <c r="C4" s="741"/>
      <c r="D4" s="742"/>
    </row>
    <row r="5" spans="1:30" s="236" customFormat="1" ht="16.5" thickBot="1" x14ac:dyDescent="0.3">
      <c r="B5" s="412" t="s">
        <v>28</v>
      </c>
      <c r="C5" s="741"/>
      <c r="D5" s="742"/>
    </row>
    <row r="6" spans="1:30" ht="15" customHeight="1" thickBot="1" x14ac:dyDescent="0.3">
      <c r="A6" s="743"/>
      <c r="B6" s="744"/>
      <c r="C6" s="756" t="s">
        <v>29</v>
      </c>
      <c r="D6" s="757" t="s">
        <v>30</v>
      </c>
      <c r="E6" s="288"/>
      <c r="F6" s="135">
        <v>1</v>
      </c>
      <c r="G6" s="135"/>
      <c r="H6" s="135"/>
      <c r="I6" s="135"/>
      <c r="J6" s="135"/>
      <c r="K6" s="135"/>
      <c r="L6" s="135"/>
      <c r="M6" s="135"/>
      <c r="N6" s="560"/>
      <c r="O6" s="560"/>
      <c r="P6" s="560"/>
      <c r="Q6" s="560"/>
      <c r="R6" s="560"/>
      <c r="S6" s="560"/>
      <c r="T6" s="560"/>
      <c r="U6" s="560"/>
      <c r="V6" s="560"/>
      <c r="W6" s="560"/>
      <c r="X6" s="136"/>
      <c r="Y6" s="227">
        <f t="shared" ref="Y6:Y20" si="0">SUMPRODUCT(E6:X6, E$3:X$3)*Z6</f>
        <v>1</v>
      </c>
      <c r="Z6" s="219">
        <v>1</v>
      </c>
      <c r="AA6" s="153"/>
      <c r="AB6" s="154"/>
      <c r="AC6" s="155">
        <v>100000</v>
      </c>
      <c r="AD6" s="291">
        <f t="shared" ref="AD6:AD25" si="1">Y6*AC6</f>
        <v>100000</v>
      </c>
    </row>
    <row r="7" spans="1:30" ht="15.75" thickBot="1" x14ac:dyDescent="0.3">
      <c r="A7" s="743"/>
      <c r="B7" s="744"/>
      <c r="C7" s="758" t="s">
        <v>31</v>
      </c>
      <c r="D7" s="210" t="s">
        <v>27</v>
      </c>
      <c r="E7" s="446"/>
      <c r="F7" s="260"/>
      <c r="G7" s="695">
        <v>300000</v>
      </c>
      <c r="H7" s="695">
        <v>300000</v>
      </c>
      <c r="I7" s="695">
        <v>200000</v>
      </c>
      <c r="J7" s="695">
        <v>50000</v>
      </c>
      <c r="K7" s="695">
        <v>50000</v>
      </c>
      <c r="L7" s="260"/>
      <c r="M7" s="260"/>
      <c r="N7" s="832"/>
      <c r="O7" s="832"/>
      <c r="P7" s="832"/>
      <c r="Q7" s="832"/>
      <c r="R7" s="832"/>
      <c r="S7" s="832"/>
      <c r="T7" s="832"/>
      <c r="U7" s="832"/>
      <c r="V7" s="832"/>
      <c r="W7" s="832"/>
      <c r="X7" s="282"/>
      <c r="Y7" s="711">
        <f t="shared" si="0"/>
        <v>900000</v>
      </c>
      <c r="Z7" s="220">
        <v>1</v>
      </c>
      <c r="AA7" s="22"/>
      <c r="AB7" s="76"/>
      <c r="AC7" s="99">
        <v>1</v>
      </c>
      <c r="AD7" s="231">
        <f t="shared" si="1"/>
        <v>900000</v>
      </c>
    </row>
    <row r="8" spans="1:30" ht="15.75" thickBot="1" x14ac:dyDescent="0.3">
      <c r="A8" s="743"/>
      <c r="B8" s="744"/>
      <c r="C8" s="758" t="s">
        <v>32</v>
      </c>
      <c r="D8" s="210" t="s">
        <v>33</v>
      </c>
      <c r="E8" s="446"/>
      <c r="F8" s="260"/>
      <c r="G8" s="260">
        <v>3</v>
      </c>
      <c r="H8" s="260">
        <v>3</v>
      </c>
      <c r="I8" s="260"/>
      <c r="J8" s="260"/>
      <c r="K8" s="260"/>
      <c r="L8" s="260"/>
      <c r="M8" s="260"/>
      <c r="N8" s="832"/>
      <c r="O8" s="832"/>
      <c r="P8" s="832"/>
      <c r="Q8" s="832"/>
      <c r="R8" s="832"/>
      <c r="S8" s="832"/>
      <c r="T8" s="832"/>
      <c r="U8" s="832"/>
      <c r="V8" s="832"/>
      <c r="W8" s="832"/>
      <c r="X8" s="282"/>
      <c r="Y8" s="227">
        <f t="shared" si="0"/>
        <v>6</v>
      </c>
      <c r="Z8" s="220">
        <v>1</v>
      </c>
      <c r="AA8" s="22"/>
      <c r="AB8" s="76"/>
      <c r="AC8" s="99">
        <v>500000</v>
      </c>
      <c r="AD8" s="231"/>
    </row>
    <row r="9" spans="1:30" ht="15.75" thickBot="1" x14ac:dyDescent="0.3">
      <c r="A9" s="743"/>
      <c r="B9" s="744"/>
      <c r="C9" s="758" t="s">
        <v>34</v>
      </c>
      <c r="D9" s="210" t="s">
        <v>33</v>
      </c>
      <c r="E9" s="446"/>
      <c r="F9" s="260"/>
      <c r="G9" s="260">
        <v>3</v>
      </c>
      <c r="H9" s="260">
        <v>3</v>
      </c>
      <c r="I9" s="260"/>
      <c r="J9" s="260"/>
      <c r="K9" s="260"/>
      <c r="L9" s="260"/>
      <c r="M9" s="260"/>
      <c r="N9" s="832"/>
      <c r="O9" s="832"/>
      <c r="P9" s="832"/>
      <c r="Q9" s="832"/>
      <c r="R9" s="832"/>
      <c r="S9" s="832"/>
      <c r="T9" s="832"/>
      <c r="U9" s="832"/>
      <c r="V9" s="832"/>
      <c r="W9" s="832"/>
      <c r="X9" s="282"/>
      <c r="Y9" s="227">
        <f t="shared" si="0"/>
        <v>6</v>
      </c>
      <c r="Z9" s="220">
        <v>1</v>
      </c>
      <c r="AA9" s="22"/>
      <c r="AB9" s="76"/>
      <c r="AC9" s="99">
        <v>200000</v>
      </c>
      <c r="AD9" s="231"/>
    </row>
    <row r="10" spans="1:30" ht="15.75" thickBot="1" x14ac:dyDescent="0.3">
      <c r="A10" s="743"/>
      <c r="B10" s="744"/>
      <c r="C10" s="758" t="s">
        <v>36</v>
      </c>
      <c r="D10" s="211" t="s">
        <v>33</v>
      </c>
      <c r="E10" s="289"/>
      <c r="F10" s="6"/>
      <c r="G10" s="6">
        <f>Assumptions!$F$34</f>
        <v>3</v>
      </c>
      <c r="H10" s="6"/>
      <c r="I10" s="6"/>
      <c r="J10" s="6"/>
      <c r="K10" s="6"/>
      <c r="L10" s="6"/>
      <c r="M10" s="6"/>
      <c r="N10" s="439"/>
      <c r="O10" s="439"/>
      <c r="P10" s="439"/>
      <c r="Q10" s="439"/>
      <c r="R10" s="439"/>
      <c r="S10" s="439"/>
      <c r="T10" s="439"/>
      <c r="U10" s="439"/>
      <c r="V10" s="439"/>
      <c r="W10" s="439"/>
      <c r="X10" s="283"/>
      <c r="Y10" s="227">
        <f t="shared" si="0"/>
        <v>3</v>
      </c>
      <c r="Z10" s="220">
        <v>1</v>
      </c>
      <c r="AA10" s="22"/>
      <c r="AB10" s="76"/>
      <c r="AC10" s="99">
        <v>100000</v>
      </c>
      <c r="AD10" s="231">
        <f t="shared" si="1"/>
        <v>300000</v>
      </c>
    </row>
    <row r="11" spans="1:30" ht="15.75" thickBot="1" x14ac:dyDescent="0.3">
      <c r="A11" s="743"/>
      <c r="B11" s="744"/>
      <c r="C11" s="758" t="s">
        <v>37</v>
      </c>
      <c r="D11" s="211" t="s">
        <v>33</v>
      </c>
      <c r="E11" s="289"/>
      <c r="F11" s="6"/>
      <c r="G11" s="6"/>
      <c r="H11" s="6">
        <f>Assumptions!F26</f>
        <v>3</v>
      </c>
      <c r="I11" s="6"/>
      <c r="J11" s="6"/>
      <c r="K11" s="6"/>
      <c r="L11" s="6"/>
      <c r="M11" s="6"/>
      <c r="N11" s="439"/>
      <c r="O11" s="439"/>
      <c r="P11" s="439"/>
      <c r="Q11" s="439"/>
      <c r="R11" s="439"/>
      <c r="S11" s="439"/>
      <c r="T11" s="439"/>
      <c r="U11" s="439"/>
      <c r="V11" s="439"/>
      <c r="W11" s="439"/>
      <c r="X11" s="283"/>
      <c r="Y11" s="227">
        <f t="shared" si="0"/>
        <v>3</v>
      </c>
      <c r="Z11" s="220">
        <v>1</v>
      </c>
      <c r="AA11" s="22"/>
      <c r="AB11" s="76"/>
      <c r="AC11" s="99">
        <v>100000</v>
      </c>
      <c r="AD11" s="231">
        <f t="shared" si="1"/>
        <v>300000</v>
      </c>
    </row>
    <row r="12" spans="1:30" ht="15.75" thickBot="1" x14ac:dyDescent="0.3">
      <c r="A12" s="743"/>
      <c r="B12" s="744"/>
      <c r="C12" s="758" t="s">
        <v>38</v>
      </c>
      <c r="D12" s="211" t="s">
        <v>33</v>
      </c>
      <c r="E12" s="289"/>
      <c r="F12" s="6"/>
      <c r="G12" s="6"/>
      <c r="H12" s="6"/>
      <c r="I12" s="6">
        <f>Assumptions!F59</f>
        <v>2.5</v>
      </c>
      <c r="J12" s="6"/>
      <c r="K12" s="6"/>
      <c r="L12" s="6"/>
      <c r="M12" s="6"/>
      <c r="N12" s="439"/>
      <c r="O12" s="439"/>
      <c r="P12" s="439"/>
      <c r="Q12" s="439"/>
      <c r="R12" s="439"/>
      <c r="S12" s="439"/>
      <c r="T12" s="439"/>
      <c r="U12" s="439"/>
      <c r="V12" s="439"/>
      <c r="W12" s="439"/>
      <c r="X12" s="283"/>
      <c r="Y12" s="227">
        <f t="shared" si="0"/>
        <v>2.5</v>
      </c>
      <c r="Z12" s="220">
        <v>1</v>
      </c>
      <c r="AA12" s="22"/>
      <c r="AB12" s="76"/>
      <c r="AC12" s="99">
        <f>Assumptions!F63</f>
        <v>2100000</v>
      </c>
      <c r="AD12" s="231">
        <f t="shared" si="1"/>
        <v>5250000</v>
      </c>
    </row>
    <row r="13" spans="1:30" ht="15.75" thickBot="1" x14ac:dyDescent="0.3">
      <c r="A13" s="743"/>
      <c r="B13" s="744"/>
      <c r="C13" s="758" t="s">
        <v>39</v>
      </c>
      <c r="D13" s="211" t="s">
        <v>40</v>
      </c>
      <c r="E13" s="289"/>
      <c r="F13" s="6"/>
      <c r="G13" s="6"/>
      <c r="H13" s="6"/>
      <c r="I13" s="6"/>
      <c r="J13" s="6"/>
      <c r="K13" s="6">
        <f>Assumptions!$F$68</f>
        <v>10</v>
      </c>
      <c r="L13" s="6"/>
      <c r="M13" s="6"/>
      <c r="N13" s="439"/>
      <c r="O13" s="439"/>
      <c r="P13" s="439"/>
      <c r="Q13" s="439"/>
      <c r="R13" s="439"/>
      <c r="S13" s="439"/>
      <c r="T13" s="439"/>
      <c r="U13" s="439"/>
      <c r="V13" s="439"/>
      <c r="W13" s="439"/>
      <c r="X13" s="283"/>
      <c r="Y13" s="227">
        <f t="shared" si="0"/>
        <v>10</v>
      </c>
      <c r="Z13" s="220">
        <v>1</v>
      </c>
      <c r="AA13" s="22"/>
      <c r="AB13" s="76"/>
      <c r="AC13" s="99">
        <f>Assumptions!F80</f>
        <v>700000</v>
      </c>
      <c r="AD13" s="231">
        <f t="shared" si="1"/>
        <v>7000000</v>
      </c>
    </row>
    <row r="14" spans="1:30" ht="15.75" thickBot="1" x14ac:dyDescent="0.3">
      <c r="A14" s="743"/>
      <c r="B14" s="744"/>
      <c r="C14" s="758" t="s">
        <v>41</v>
      </c>
      <c r="D14" s="211" t="s">
        <v>33</v>
      </c>
      <c r="E14" s="289"/>
      <c r="F14" s="6"/>
      <c r="G14" s="6"/>
      <c r="H14" s="6"/>
      <c r="I14" s="6"/>
      <c r="J14" s="6"/>
      <c r="K14" s="6">
        <f>Assumptions!$F$75</f>
        <v>5</v>
      </c>
      <c r="L14" s="6"/>
      <c r="M14" s="6"/>
      <c r="N14" s="439"/>
      <c r="O14" s="439"/>
      <c r="P14" s="439"/>
      <c r="Q14" s="439"/>
      <c r="R14" s="439"/>
      <c r="S14" s="439"/>
      <c r="T14" s="439"/>
      <c r="U14" s="439"/>
      <c r="V14" s="439"/>
      <c r="W14" s="439"/>
      <c r="X14" s="283"/>
      <c r="Y14" s="227">
        <f t="shared" si="0"/>
        <v>5</v>
      </c>
      <c r="Z14" s="220">
        <v>1</v>
      </c>
      <c r="AA14" s="22"/>
      <c r="AB14" s="76"/>
      <c r="AC14" s="99">
        <v>0</v>
      </c>
      <c r="AD14" s="231">
        <f t="shared" si="1"/>
        <v>0</v>
      </c>
    </row>
    <row r="15" spans="1:30" ht="15.75" thickBot="1" x14ac:dyDescent="0.3">
      <c r="A15" s="743"/>
      <c r="B15" s="744"/>
      <c r="C15" s="758" t="s">
        <v>42</v>
      </c>
      <c r="D15" s="211" t="s">
        <v>43</v>
      </c>
      <c r="E15" s="289"/>
      <c r="F15" s="6"/>
      <c r="G15" s="6"/>
      <c r="H15" s="6"/>
      <c r="I15" s="6"/>
      <c r="J15" s="6">
        <v>3</v>
      </c>
      <c r="K15" s="6"/>
      <c r="L15" s="6"/>
      <c r="M15" s="6"/>
      <c r="N15" s="439"/>
      <c r="O15" s="439"/>
      <c r="P15" s="439"/>
      <c r="Q15" s="439"/>
      <c r="R15" s="439"/>
      <c r="S15" s="439"/>
      <c r="T15" s="439"/>
      <c r="U15" s="439"/>
      <c r="V15" s="439"/>
      <c r="W15" s="439"/>
      <c r="X15" s="283"/>
      <c r="Y15" s="227">
        <f t="shared" si="0"/>
        <v>3</v>
      </c>
      <c r="Z15" s="220">
        <v>1</v>
      </c>
      <c r="AA15" s="22"/>
      <c r="AB15" s="76"/>
      <c r="AC15" s="99">
        <f>Assumptions!$F$89</f>
        <v>350000</v>
      </c>
      <c r="AD15" s="231">
        <f t="shared" si="1"/>
        <v>1050000</v>
      </c>
    </row>
    <row r="16" spans="1:30" ht="15.75" thickBot="1" x14ac:dyDescent="0.3">
      <c r="A16" s="743"/>
      <c r="B16" s="744"/>
      <c r="C16" s="758" t="s">
        <v>44</v>
      </c>
      <c r="D16" s="211" t="s">
        <v>27</v>
      </c>
      <c r="E16" s="289">
        <v>1</v>
      </c>
      <c r="F16" s="6"/>
      <c r="G16" s="6"/>
      <c r="H16" s="6"/>
      <c r="I16" s="6"/>
      <c r="J16" s="6"/>
      <c r="K16" s="6"/>
      <c r="L16" s="6"/>
      <c r="M16" s="6"/>
      <c r="N16" s="439"/>
      <c r="O16" s="439"/>
      <c r="P16" s="439"/>
      <c r="Q16" s="439"/>
      <c r="R16" s="439"/>
      <c r="S16" s="439"/>
      <c r="T16" s="439"/>
      <c r="U16" s="439"/>
      <c r="V16" s="439"/>
      <c r="W16" s="439"/>
      <c r="X16" s="283"/>
      <c r="Y16" s="227">
        <f t="shared" si="0"/>
        <v>1</v>
      </c>
      <c r="Z16" s="220">
        <v>1</v>
      </c>
      <c r="AA16" s="22"/>
      <c r="AB16" s="76"/>
      <c r="AC16" s="231">
        <v>50000</v>
      </c>
      <c r="AD16" s="231">
        <f t="shared" si="1"/>
        <v>50000</v>
      </c>
    </row>
    <row r="17" spans="1:30" ht="15.75" thickBot="1" x14ac:dyDescent="0.3">
      <c r="A17" s="743"/>
      <c r="B17" s="744"/>
      <c r="C17" s="758" t="s">
        <v>45</v>
      </c>
      <c r="D17" s="211" t="s">
        <v>27</v>
      </c>
      <c r="E17" s="289">
        <v>1</v>
      </c>
      <c r="F17" s="6"/>
      <c r="G17" s="6"/>
      <c r="H17" s="6"/>
      <c r="I17" s="6"/>
      <c r="J17" s="6"/>
      <c r="K17" s="6"/>
      <c r="L17" s="6"/>
      <c r="M17" s="6"/>
      <c r="N17" s="439"/>
      <c r="O17" s="439"/>
      <c r="P17" s="439"/>
      <c r="Q17" s="439"/>
      <c r="R17" s="439"/>
      <c r="S17" s="439"/>
      <c r="T17" s="439"/>
      <c r="U17" s="439"/>
      <c r="V17" s="439"/>
      <c r="W17" s="439"/>
      <c r="X17" s="283"/>
      <c r="Y17" s="227">
        <f t="shared" si="0"/>
        <v>1</v>
      </c>
      <c r="Z17" s="220">
        <v>1</v>
      </c>
      <c r="AA17" s="22"/>
      <c r="AB17" s="76"/>
      <c r="AC17" s="231">
        <v>50000</v>
      </c>
      <c r="AD17" s="231">
        <f t="shared" si="1"/>
        <v>50000</v>
      </c>
    </row>
    <row r="18" spans="1:30" ht="15.75" thickBot="1" x14ac:dyDescent="0.3">
      <c r="A18" s="743"/>
      <c r="B18" s="744"/>
      <c r="C18" s="758"/>
      <c r="D18" s="211"/>
      <c r="E18" s="289"/>
      <c r="F18" s="6"/>
      <c r="G18" s="6"/>
      <c r="H18" s="6"/>
      <c r="I18" s="6"/>
      <c r="J18" s="6"/>
      <c r="K18" s="6"/>
      <c r="L18" s="6"/>
      <c r="M18" s="6"/>
      <c r="N18" s="439"/>
      <c r="O18" s="439"/>
      <c r="P18" s="439"/>
      <c r="Q18" s="439"/>
      <c r="R18" s="439"/>
      <c r="S18" s="439"/>
      <c r="T18" s="439"/>
      <c r="U18" s="439"/>
      <c r="V18" s="439"/>
      <c r="W18" s="439"/>
      <c r="X18" s="283"/>
      <c r="Y18" s="227">
        <f t="shared" si="0"/>
        <v>0</v>
      </c>
      <c r="Z18" s="220">
        <v>1</v>
      </c>
      <c r="AA18" s="22"/>
      <c r="AB18" s="76"/>
      <c r="AC18" s="99">
        <v>1</v>
      </c>
      <c r="AD18" s="231">
        <f t="shared" si="1"/>
        <v>0</v>
      </c>
    </row>
    <row r="19" spans="1:30" ht="15.75" thickBot="1" x14ac:dyDescent="0.3">
      <c r="A19" s="743"/>
      <c r="B19" s="744"/>
      <c r="C19" s="758"/>
      <c r="D19" s="211" t="s">
        <v>27</v>
      </c>
      <c r="E19" s="289"/>
      <c r="F19" s="6"/>
      <c r="G19" s="6"/>
      <c r="H19" s="6"/>
      <c r="I19" s="6"/>
      <c r="J19" s="6"/>
      <c r="K19" s="6"/>
      <c r="L19" s="6"/>
      <c r="M19" s="6"/>
      <c r="N19" s="439"/>
      <c r="O19" s="439"/>
      <c r="P19" s="439"/>
      <c r="Q19" s="439"/>
      <c r="R19" s="439"/>
      <c r="S19" s="439"/>
      <c r="T19" s="439"/>
      <c r="U19" s="439"/>
      <c r="V19" s="439"/>
      <c r="W19" s="439"/>
      <c r="X19" s="283"/>
      <c r="Y19" s="227">
        <f t="shared" si="0"/>
        <v>0</v>
      </c>
      <c r="Z19" s="220">
        <v>1</v>
      </c>
      <c r="AA19" s="22"/>
      <c r="AB19" s="84"/>
      <c r="AC19" s="99">
        <v>1</v>
      </c>
      <c r="AD19" s="231">
        <f t="shared" si="1"/>
        <v>0</v>
      </c>
    </row>
    <row r="20" spans="1:30" ht="15.75" thickBot="1" x14ac:dyDescent="0.3">
      <c r="A20" s="743"/>
      <c r="B20" s="744"/>
      <c r="C20" s="759"/>
      <c r="D20" s="212" t="s">
        <v>27</v>
      </c>
      <c r="E20" s="290"/>
      <c r="F20" s="284"/>
      <c r="G20" s="284"/>
      <c r="H20" s="284"/>
      <c r="I20" s="284"/>
      <c r="J20" s="284"/>
      <c r="K20" s="284"/>
      <c r="L20" s="284"/>
      <c r="M20" s="284"/>
      <c r="N20" s="792"/>
      <c r="O20" s="792"/>
      <c r="P20" s="792"/>
      <c r="Q20" s="792"/>
      <c r="R20" s="792"/>
      <c r="S20" s="792"/>
      <c r="T20" s="792"/>
      <c r="U20" s="792"/>
      <c r="V20" s="792"/>
      <c r="W20" s="792"/>
      <c r="X20" s="285"/>
      <c r="Y20" s="316">
        <f t="shared" si="0"/>
        <v>0</v>
      </c>
      <c r="Z20" s="221">
        <v>1</v>
      </c>
      <c r="AA20" s="270"/>
      <c r="AB20" s="317"/>
      <c r="AC20" s="318">
        <v>1</v>
      </c>
      <c r="AD20" s="233">
        <f t="shared" si="1"/>
        <v>0</v>
      </c>
    </row>
    <row r="21" spans="1:30" ht="16.5" thickBot="1" x14ac:dyDescent="0.3">
      <c r="A21" s="743"/>
      <c r="B21" s="412" t="s">
        <v>46</v>
      </c>
      <c r="X21"/>
    </row>
    <row r="22" spans="1:30" ht="15.75" thickBot="1" x14ac:dyDescent="0.3">
      <c r="A22" s="743"/>
      <c r="B22" s="745"/>
      <c r="C22" s="756" t="s">
        <v>47</v>
      </c>
      <c r="D22" s="757" t="s">
        <v>27</v>
      </c>
      <c r="E22" s="760">
        <v>10000</v>
      </c>
      <c r="F22" s="761"/>
      <c r="G22" s="761"/>
      <c r="H22" s="761"/>
      <c r="I22" s="761"/>
      <c r="J22" s="761"/>
      <c r="K22" s="761"/>
      <c r="L22" s="761"/>
      <c r="M22" s="761"/>
      <c r="N22" s="833"/>
      <c r="O22" s="833"/>
      <c r="P22" s="833"/>
      <c r="Q22" s="833"/>
      <c r="R22" s="833"/>
      <c r="S22" s="833"/>
      <c r="T22" s="833"/>
      <c r="U22" s="833"/>
      <c r="V22" s="833"/>
      <c r="W22" s="833"/>
      <c r="X22" s="762"/>
      <c r="Y22" s="711">
        <f t="shared" ref="Y22:Y28" si="2">SUMPRODUCT(E22:X22, E$3:X$3)*Z22</f>
        <v>10000</v>
      </c>
      <c r="Z22" s="778">
        <v>1</v>
      </c>
      <c r="AA22" s="779"/>
      <c r="AB22" s="780"/>
      <c r="AC22" s="155">
        <v>1</v>
      </c>
      <c r="AD22" s="781">
        <f t="shared" si="1"/>
        <v>10000</v>
      </c>
    </row>
    <row r="23" spans="1:30" ht="15.75" thickBot="1" x14ac:dyDescent="0.3">
      <c r="A23" s="743"/>
      <c r="B23" s="745"/>
      <c r="C23" s="758" t="s">
        <v>48</v>
      </c>
      <c r="D23" s="211" t="s">
        <v>27</v>
      </c>
      <c r="E23" s="447"/>
      <c r="F23" s="286"/>
      <c r="G23" s="286"/>
      <c r="H23" s="286"/>
      <c r="I23" s="286"/>
      <c r="J23" s="286"/>
      <c r="K23" s="286"/>
      <c r="L23" s="286"/>
      <c r="M23" s="286"/>
      <c r="N23" s="834"/>
      <c r="O23" s="834"/>
      <c r="P23" s="834"/>
      <c r="Q23" s="834"/>
      <c r="R23" s="834"/>
      <c r="S23" s="834"/>
      <c r="T23" s="834"/>
      <c r="U23" s="834"/>
      <c r="V23" s="834"/>
      <c r="W23" s="834"/>
      <c r="X23" s="287"/>
      <c r="Y23" s="227">
        <f t="shared" si="2"/>
        <v>0</v>
      </c>
      <c r="Z23" s="782">
        <v>1</v>
      </c>
      <c r="AA23" s="139"/>
      <c r="AB23" s="84"/>
      <c r="AC23" s="99">
        <v>1</v>
      </c>
      <c r="AD23" s="231">
        <f t="shared" si="1"/>
        <v>0</v>
      </c>
    </row>
    <row r="24" spans="1:30" ht="15.75" thickBot="1" x14ac:dyDescent="0.3">
      <c r="A24" s="743"/>
      <c r="B24" s="745"/>
      <c r="C24" s="758" t="s">
        <v>49</v>
      </c>
      <c r="D24" s="211" t="s">
        <v>50</v>
      </c>
      <c r="E24" s="447">
        <f>Assumptions!F23</f>
        <v>0.2</v>
      </c>
      <c r="F24" s="286"/>
      <c r="G24" s="286">
        <f>Assumptions!F39*G10*G$3*$Z10</f>
        <v>2.7</v>
      </c>
      <c r="H24" s="286">
        <f>Assumptions!F31*G10*G$3*$Z10</f>
        <v>2.0999999999999996</v>
      </c>
      <c r="I24" s="286">
        <f>Assumptions!F64*I12*I$3*$Z12</f>
        <v>0.75</v>
      </c>
      <c r="J24" s="286"/>
      <c r="K24" s="286"/>
      <c r="L24" s="286"/>
      <c r="M24" s="286"/>
      <c r="N24" s="834"/>
      <c r="O24" s="834"/>
      <c r="P24" s="834"/>
      <c r="Q24" s="834"/>
      <c r="R24" s="834"/>
      <c r="S24" s="834"/>
      <c r="T24" s="834"/>
      <c r="U24" s="834"/>
      <c r="V24" s="834"/>
      <c r="W24" s="834"/>
      <c r="X24" s="287"/>
      <c r="Y24" s="227">
        <f t="shared" si="2"/>
        <v>5.75</v>
      </c>
      <c r="Z24" s="782">
        <v>1</v>
      </c>
      <c r="AA24" s="139"/>
      <c r="AB24" s="84"/>
      <c r="AC24" s="137">
        <f>Assumptions!$F$20</f>
        <v>100000</v>
      </c>
      <c r="AD24" s="231">
        <f t="shared" si="1"/>
        <v>575000</v>
      </c>
    </row>
    <row r="25" spans="1:30" ht="15.75" thickBot="1" x14ac:dyDescent="0.3">
      <c r="A25" s="743"/>
      <c r="B25" s="745"/>
      <c r="C25" s="758" t="s">
        <v>51</v>
      </c>
      <c r="D25" s="211" t="s">
        <v>33</v>
      </c>
      <c r="E25" s="289"/>
      <c r="F25" s="6"/>
      <c r="G25" s="6"/>
      <c r="H25" s="6"/>
      <c r="I25" s="6"/>
      <c r="J25" s="6"/>
      <c r="K25" s="6"/>
      <c r="L25" s="6"/>
      <c r="M25" s="6">
        <v>3</v>
      </c>
      <c r="N25" s="439"/>
      <c r="O25" s="439"/>
      <c r="P25" s="439"/>
      <c r="Q25" s="439"/>
      <c r="R25" s="439"/>
      <c r="S25" s="439"/>
      <c r="T25" s="439"/>
      <c r="U25" s="439"/>
      <c r="V25" s="439"/>
      <c r="W25" s="439"/>
      <c r="X25" s="283"/>
      <c r="Y25" s="227">
        <f t="shared" si="2"/>
        <v>3</v>
      </c>
      <c r="Z25" s="782">
        <v>1</v>
      </c>
      <c r="AA25" s="139"/>
      <c r="AB25" s="76"/>
      <c r="AC25" s="99">
        <f>Assumptions!F57</f>
        <v>67000</v>
      </c>
      <c r="AD25" s="231">
        <f t="shared" si="1"/>
        <v>201000</v>
      </c>
    </row>
    <row r="26" spans="1:30" ht="15.75" thickBot="1" x14ac:dyDescent="0.3">
      <c r="A26" s="743"/>
      <c r="B26" s="745"/>
      <c r="C26" s="758" t="s">
        <v>504</v>
      </c>
      <c r="D26" s="211" t="s">
        <v>40</v>
      </c>
      <c r="E26" s="289"/>
      <c r="F26" s="6"/>
      <c r="G26" s="6"/>
      <c r="H26" s="6"/>
      <c r="I26" s="6"/>
      <c r="J26" s="6"/>
      <c r="K26" s="6"/>
      <c r="L26" s="6">
        <f>Assumptions!$F$68</f>
        <v>10</v>
      </c>
      <c r="M26" s="6"/>
      <c r="N26" s="439"/>
      <c r="O26" s="439"/>
      <c r="P26" s="439"/>
      <c r="Q26" s="439"/>
      <c r="R26" s="439"/>
      <c r="S26" s="439"/>
      <c r="T26" s="439"/>
      <c r="U26" s="439"/>
      <c r="V26" s="439"/>
      <c r="W26" s="439"/>
      <c r="X26" s="283"/>
      <c r="Y26" s="227">
        <f t="shared" si="2"/>
        <v>10</v>
      </c>
      <c r="Z26" s="220">
        <v>1</v>
      </c>
      <c r="AA26" s="22"/>
      <c r="AB26" s="76"/>
      <c r="AC26" s="99">
        <v>1000000</v>
      </c>
      <c r="AD26" s="231">
        <f t="shared" ref="AD26:AD27" si="3">Y26*AC26</f>
        <v>10000000</v>
      </c>
    </row>
    <row r="27" spans="1:30" ht="15.75" thickBot="1" x14ac:dyDescent="0.3">
      <c r="A27" s="743"/>
      <c r="B27" s="745"/>
      <c r="C27" s="758" t="s">
        <v>505</v>
      </c>
      <c r="D27" s="211" t="s">
        <v>33</v>
      </c>
      <c r="E27" s="289"/>
      <c r="F27" s="6"/>
      <c r="G27" s="6"/>
      <c r="H27" s="6"/>
      <c r="I27" s="6"/>
      <c r="J27" s="6"/>
      <c r="K27" s="6"/>
      <c r="L27" s="6">
        <f>Assumptions!$F$75</f>
        <v>5</v>
      </c>
      <c r="M27" s="6"/>
      <c r="N27" s="439"/>
      <c r="O27" s="439"/>
      <c r="P27" s="439"/>
      <c r="Q27" s="439"/>
      <c r="R27" s="439"/>
      <c r="S27" s="439"/>
      <c r="T27" s="439"/>
      <c r="U27" s="439"/>
      <c r="V27" s="439"/>
      <c r="W27" s="439"/>
      <c r="X27" s="283"/>
      <c r="Y27" s="227">
        <f t="shared" si="2"/>
        <v>5</v>
      </c>
      <c r="Z27" s="220">
        <v>1</v>
      </c>
      <c r="AA27" s="22"/>
      <c r="AB27" s="76"/>
      <c r="AC27" s="99">
        <v>0</v>
      </c>
      <c r="AD27" s="231">
        <f t="shared" si="3"/>
        <v>0</v>
      </c>
    </row>
    <row r="28" spans="1:30" ht="15.75" thickBot="1" x14ac:dyDescent="0.3">
      <c r="A28" s="743"/>
      <c r="B28" s="745"/>
      <c r="C28" s="759"/>
      <c r="D28" s="212" t="s">
        <v>40</v>
      </c>
      <c r="E28" s="763"/>
      <c r="F28" s="764"/>
      <c r="G28" s="764"/>
      <c r="H28" s="764"/>
      <c r="I28" s="764"/>
      <c r="J28" s="764"/>
      <c r="K28" s="764"/>
      <c r="L28" s="764"/>
      <c r="M28" s="764"/>
      <c r="N28" s="835"/>
      <c r="O28" s="835"/>
      <c r="P28" s="835"/>
      <c r="Q28" s="835"/>
      <c r="R28" s="835"/>
      <c r="S28" s="835"/>
      <c r="T28" s="835"/>
      <c r="U28" s="835"/>
      <c r="V28" s="835"/>
      <c r="W28" s="835"/>
      <c r="X28" s="765"/>
      <c r="Y28" s="316">
        <f t="shared" si="2"/>
        <v>0</v>
      </c>
      <c r="Z28" s="783">
        <v>1</v>
      </c>
      <c r="AA28" s="784"/>
      <c r="AB28" s="317"/>
      <c r="AC28" s="99">
        <v>1000000</v>
      </c>
      <c r="AD28" s="318"/>
    </row>
    <row r="29" spans="1:30" ht="16.5" thickBot="1" x14ac:dyDescent="0.3">
      <c r="A29" s="743"/>
      <c r="B29" s="412" t="s">
        <v>52</v>
      </c>
      <c r="D29" s="18"/>
      <c r="E29" s="752"/>
      <c r="F29" s="752"/>
      <c r="G29" s="752"/>
      <c r="H29" s="752"/>
      <c r="I29" s="752"/>
      <c r="J29" s="752"/>
      <c r="K29" s="752"/>
      <c r="L29" s="752"/>
      <c r="M29" s="752"/>
      <c r="N29" s="752"/>
      <c r="O29" s="752"/>
      <c r="P29" s="752"/>
      <c r="Q29" s="752"/>
      <c r="R29" s="752"/>
      <c r="S29" s="752"/>
      <c r="T29" s="752"/>
      <c r="U29" s="752"/>
      <c r="V29" s="752"/>
      <c r="W29" s="752"/>
      <c r="X29" s="752"/>
      <c r="Y29" s="404"/>
      <c r="Z29" s="776"/>
      <c r="AA29" s="737"/>
      <c r="AB29" s="777"/>
      <c r="AC29" s="738"/>
    </row>
    <row r="30" spans="1:30" ht="15" customHeight="1" thickBot="1" x14ac:dyDescent="0.3">
      <c r="A30" s="743"/>
      <c r="B30" s="851"/>
      <c r="C30" s="766" t="s">
        <v>53</v>
      </c>
      <c r="D30" s="767" t="s">
        <v>40</v>
      </c>
      <c r="E30" s="768">
        <f t="shared" ref="E30:M30" si="4">SUMPRODUCT(E$6:E$28,$AA$6:$AA$28,$Z$6:$Z$28)*E$3</f>
        <v>0</v>
      </c>
      <c r="F30" s="769">
        <f t="shared" si="4"/>
        <v>0</v>
      </c>
      <c r="G30" s="769">
        <f t="shared" si="4"/>
        <v>0</v>
      </c>
      <c r="H30" s="769">
        <f t="shared" si="4"/>
        <v>0</v>
      </c>
      <c r="I30" s="769">
        <f t="shared" si="4"/>
        <v>0</v>
      </c>
      <c r="J30" s="769">
        <f t="shared" si="4"/>
        <v>0</v>
      </c>
      <c r="K30" s="769">
        <f t="shared" si="4"/>
        <v>0</v>
      </c>
      <c r="L30" s="769">
        <f t="shared" si="4"/>
        <v>0</v>
      </c>
      <c r="M30" s="769">
        <f t="shared" si="4"/>
        <v>0</v>
      </c>
      <c r="N30" s="769">
        <f t="shared" ref="N30:W30" si="5">SUMPRODUCT(N$6:N$28,$AA$6:$AA$28,$Z$6:$Z$28)*N$3</f>
        <v>0</v>
      </c>
      <c r="O30" s="769">
        <f t="shared" si="5"/>
        <v>0</v>
      </c>
      <c r="P30" s="769">
        <f t="shared" si="5"/>
        <v>0</v>
      </c>
      <c r="Q30" s="769">
        <f t="shared" si="5"/>
        <v>0</v>
      </c>
      <c r="R30" s="769">
        <f t="shared" si="5"/>
        <v>0</v>
      </c>
      <c r="S30" s="769">
        <f t="shared" si="5"/>
        <v>0</v>
      </c>
      <c r="T30" s="769">
        <f t="shared" si="5"/>
        <v>0</v>
      </c>
      <c r="U30" s="769">
        <f t="shared" si="5"/>
        <v>0</v>
      </c>
      <c r="V30" s="769">
        <f t="shared" si="5"/>
        <v>0</v>
      </c>
      <c r="W30" s="769">
        <f t="shared" si="5"/>
        <v>0</v>
      </c>
      <c r="X30" s="770">
        <f>SUMPRODUCT(X$6:X$28,$AA$6:$AA$28,$Z$6:$Z$28)*X$3</f>
        <v>0</v>
      </c>
      <c r="Y30" s="771">
        <f t="shared" ref="Y30:Y37" si="6">SUM(E30:X30)</f>
        <v>0</v>
      </c>
      <c r="Z30" s="751"/>
      <c r="AA30" s="23"/>
      <c r="AB30" s="179"/>
      <c r="AC30" s="100"/>
    </row>
    <row r="31" spans="1:30" ht="15" customHeight="1" thickBot="1" x14ac:dyDescent="0.3">
      <c r="A31" s="743"/>
      <c r="B31" s="851"/>
      <c r="C31" s="772" t="s">
        <v>54</v>
      </c>
      <c r="D31" s="166" t="s">
        <v>55</v>
      </c>
      <c r="E31" s="448">
        <f t="shared" ref="E31:M31" si="7">SUMPRODUCT($AB$6:$AB$28,E$6:E$28,$Z$6:$Z$28)*E$3</f>
        <v>0</v>
      </c>
      <c r="F31" s="156">
        <f t="shared" si="7"/>
        <v>0</v>
      </c>
      <c r="G31" s="156">
        <f t="shared" si="7"/>
        <v>0</v>
      </c>
      <c r="H31" s="156">
        <f t="shared" si="7"/>
        <v>0</v>
      </c>
      <c r="I31" s="156">
        <f t="shared" si="7"/>
        <v>0</v>
      </c>
      <c r="J31" s="156">
        <f t="shared" si="7"/>
        <v>0</v>
      </c>
      <c r="K31" s="156">
        <f t="shared" si="7"/>
        <v>0</v>
      </c>
      <c r="L31" s="156">
        <f t="shared" si="7"/>
        <v>0</v>
      </c>
      <c r="M31" s="156">
        <f t="shared" si="7"/>
        <v>0</v>
      </c>
      <c r="N31" s="156">
        <f t="shared" ref="N31:W31" si="8">SUMPRODUCT($AB$6:$AB$28,N$6:N$28,$Z$6:$Z$28)*N$3</f>
        <v>0</v>
      </c>
      <c r="O31" s="156">
        <f t="shared" si="8"/>
        <v>0</v>
      </c>
      <c r="P31" s="156">
        <f t="shared" si="8"/>
        <v>0</v>
      </c>
      <c r="Q31" s="156">
        <f t="shared" si="8"/>
        <v>0</v>
      </c>
      <c r="R31" s="156">
        <f t="shared" si="8"/>
        <v>0</v>
      </c>
      <c r="S31" s="156">
        <f t="shared" si="8"/>
        <v>0</v>
      </c>
      <c r="T31" s="156">
        <f t="shared" si="8"/>
        <v>0</v>
      </c>
      <c r="U31" s="156">
        <f t="shared" si="8"/>
        <v>0</v>
      </c>
      <c r="V31" s="156">
        <f t="shared" si="8"/>
        <v>0</v>
      </c>
      <c r="W31" s="156">
        <f t="shared" si="8"/>
        <v>0</v>
      </c>
      <c r="X31" s="229">
        <f>SUMPRODUCT($AB$6:$AB$28,X$6:X$28,$Z$6:$Z$28)*X$3</f>
        <v>0</v>
      </c>
      <c r="Y31" s="228">
        <f t="shared" si="6"/>
        <v>0</v>
      </c>
      <c r="Z31" s="222"/>
      <c r="AA31" s="140"/>
      <c r="AB31" s="80"/>
      <c r="AC31" s="100"/>
    </row>
    <row r="32" spans="1:30" x14ac:dyDescent="0.25">
      <c r="A32" s="743"/>
      <c r="B32" s="851"/>
      <c r="C32" s="773" t="s">
        <v>56</v>
      </c>
      <c r="D32" s="213" t="s">
        <v>27</v>
      </c>
      <c r="E32" s="354">
        <f t="shared" ref="E32:M32" si="9">SUMPRODUCT(E$6:E$20,$AC$6:$AC$20,$Z$6:$Z$20)*E$3</f>
        <v>100000</v>
      </c>
      <c r="F32" s="355">
        <f t="shared" si="9"/>
        <v>100000</v>
      </c>
      <c r="G32" s="355">
        <f t="shared" si="9"/>
        <v>2700000</v>
      </c>
      <c r="H32" s="355">
        <f t="shared" si="9"/>
        <v>2700000</v>
      </c>
      <c r="I32" s="355">
        <f t="shared" si="9"/>
        <v>5450000</v>
      </c>
      <c r="J32" s="355">
        <f t="shared" si="9"/>
        <v>1100000</v>
      </c>
      <c r="K32" s="355">
        <f t="shared" si="9"/>
        <v>7050000</v>
      </c>
      <c r="L32" s="355">
        <f t="shared" si="9"/>
        <v>0</v>
      </c>
      <c r="M32" s="355">
        <f t="shared" si="9"/>
        <v>0</v>
      </c>
      <c r="N32" s="355">
        <f t="shared" ref="N32:W32" si="10">SUMPRODUCT(N$6:N$20,$AC$6:$AC$20,$Z$6:$Z$20)*N$3</f>
        <v>0</v>
      </c>
      <c r="O32" s="355">
        <f t="shared" si="10"/>
        <v>0</v>
      </c>
      <c r="P32" s="355">
        <f t="shared" si="10"/>
        <v>0</v>
      </c>
      <c r="Q32" s="355">
        <f t="shared" si="10"/>
        <v>0</v>
      </c>
      <c r="R32" s="355">
        <f t="shared" si="10"/>
        <v>0</v>
      </c>
      <c r="S32" s="355">
        <f t="shared" si="10"/>
        <v>0</v>
      </c>
      <c r="T32" s="355">
        <f t="shared" si="10"/>
        <v>0</v>
      </c>
      <c r="U32" s="355">
        <f t="shared" si="10"/>
        <v>0</v>
      </c>
      <c r="V32" s="355">
        <f t="shared" si="10"/>
        <v>0</v>
      </c>
      <c r="W32" s="355">
        <f t="shared" si="10"/>
        <v>0</v>
      </c>
      <c r="X32" s="155">
        <f>SUMPRODUCT(X$6:X$20,$AC$6:$AC$20,$Z$6:$Z$20)*X$3</f>
        <v>0</v>
      </c>
      <c r="Y32" s="230">
        <f t="shared" si="6"/>
        <v>19200000</v>
      </c>
      <c r="Z32" s="223"/>
      <c r="AA32" s="102"/>
      <c r="AB32" s="102"/>
      <c r="AC32" s="100"/>
    </row>
    <row r="33" spans="1:29" x14ac:dyDescent="0.25">
      <c r="A33" s="743"/>
      <c r="B33" s="851"/>
      <c r="C33" s="774" t="s">
        <v>57</v>
      </c>
      <c r="D33" s="214" t="s">
        <v>27</v>
      </c>
      <c r="E33" s="356">
        <f t="shared" ref="E33:M33" si="11">SUMPRODUCT(E$22:E$28,$AC$22:$AC$28,$Z$22:$Z$28)*E$3</f>
        <v>30000</v>
      </c>
      <c r="F33" s="157">
        <f t="shared" si="11"/>
        <v>0</v>
      </c>
      <c r="G33" s="157">
        <f t="shared" si="11"/>
        <v>270000</v>
      </c>
      <c r="H33" s="157">
        <f t="shared" si="11"/>
        <v>209999.99999999997</v>
      </c>
      <c r="I33" s="157">
        <f t="shared" si="11"/>
        <v>75000</v>
      </c>
      <c r="J33" s="157">
        <f t="shared" si="11"/>
        <v>0</v>
      </c>
      <c r="K33" s="157">
        <f t="shared" si="11"/>
        <v>0</v>
      </c>
      <c r="L33" s="157">
        <f t="shared" si="11"/>
        <v>10000000</v>
      </c>
      <c r="M33" s="157">
        <f t="shared" si="11"/>
        <v>201000</v>
      </c>
      <c r="N33" s="157">
        <f t="shared" ref="N33:W33" si="12">SUMPRODUCT(N$22:N$28,$AC$22:$AC$28,$Z$22:$Z$28)*N$3</f>
        <v>0</v>
      </c>
      <c r="O33" s="157">
        <f t="shared" si="12"/>
        <v>0</v>
      </c>
      <c r="P33" s="157">
        <f t="shared" si="12"/>
        <v>0</v>
      </c>
      <c r="Q33" s="157">
        <f t="shared" si="12"/>
        <v>0</v>
      </c>
      <c r="R33" s="157">
        <f t="shared" si="12"/>
        <v>0</v>
      </c>
      <c r="S33" s="157">
        <f t="shared" si="12"/>
        <v>0</v>
      </c>
      <c r="T33" s="157">
        <f t="shared" si="12"/>
        <v>0</v>
      </c>
      <c r="U33" s="157">
        <f t="shared" si="12"/>
        <v>0</v>
      </c>
      <c r="V33" s="157">
        <f t="shared" si="12"/>
        <v>0</v>
      </c>
      <c r="W33" s="157">
        <f t="shared" si="12"/>
        <v>0</v>
      </c>
      <c r="X33" s="99">
        <f>SUMPRODUCT(X$22:X$28,$AC$22:$AC$28,$Z$22:$Z$28)*X$3</f>
        <v>0</v>
      </c>
      <c r="Y33" s="231">
        <f t="shared" si="6"/>
        <v>10786000</v>
      </c>
      <c r="Z33" s="224"/>
      <c r="AA33" s="102"/>
      <c r="AB33" s="102"/>
      <c r="AC33" s="100"/>
    </row>
    <row r="34" spans="1:29" x14ac:dyDescent="0.25">
      <c r="A34" s="743"/>
      <c r="B34" s="851"/>
      <c r="C34" s="774" t="s">
        <v>58</v>
      </c>
      <c r="D34" s="215" t="s">
        <v>27</v>
      </c>
      <c r="E34" s="357">
        <f t="shared" ref="E34:X34" si="13">SUM(E32:E33)</f>
        <v>130000</v>
      </c>
      <c r="F34" s="133">
        <f t="shared" si="13"/>
        <v>100000</v>
      </c>
      <c r="G34" s="133">
        <f t="shared" si="13"/>
        <v>2970000</v>
      </c>
      <c r="H34" s="133">
        <f t="shared" si="13"/>
        <v>2910000</v>
      </c>
      <c r="I34" s="133">
        <f t="shared" si="13"/>
        <v>5525000</v>
      </c>
      <c r="J34" s="133">
        <f t="shared" si="13"/>
        <v>1100000</v>
      </c>
      <c r="K34" s="133">
        <f>SUM(K32:K33)</f>
        <v>7050000</v>
      </c>
      <c r="L34" s="133">
        <f t="shared" ref="L34" si="14">SUM(L32:L33)</f>
        <v>10000000</v>
      </c>
      <c r="M34" s="133">
        <f t="shared" si="13"/>
        <v>201000</v>
      </c>
      <c r="N34" s="133">
        <f t="shared" ref="N34:W34" si="15">SUM(N32:N33)</f>
        <v>0</v>
      </c>
      <c r="O34" s="133">
        <f t="shared" si="15"/>
        <v>0</v>
      </c>
      <c r="P34" s="133">
        <f t="shared" si="15"/>
        <v>0</v>
      </c>
      <c r="Q34" s="133">
        <f t="shared" si="15"/>
        <v>0</v>
      </c>
      <c r="R34" s="133">
        <f t="shared" si="15"/>
        <v>0</v>
      </c>
      <c r="S34" s="133">
        <f t="shared" si="15"/>
        <v>0</v>
      </c>
      <c r="T34" s="133">
        <f t="shared" si="15"/>
        <v>0</v>
      </c>
      <c r="U34" s="133">
        <f t="shared" si="15"/>
        <v>0</v>
      </c>
      <c r="V34" s="133">
        <f t="shared" si="15"/>
        <v>0</v>
      </c>
      <c r="W34" s="133">
        <f t="shared" si="15"/>
        <v>0</v>
      </c>
      <c r="X34" s="232">
        <f t="shared" si="13"/>
        <v>0</v>
      </c>
      <c r="Y34" s="231">
        <f t="shared" si="6"/>
        <v>29986000</v>
      </c>
      <c r="Z34" s="224"/>
      <c r="AA34" s="102"/>
      <c r="AB34" s="102"/>
      <c r="AC34" s="100"/>
    </row>
    <row r="35" spans="1:29" x14ac:dyDescent="0.25">
      <c r="A35" s="743"/>
      <c r="B35" s="851"/>
      <c r="C35" s="774" t="s">
        <v>59</v>
      </c>
      <c r="D35" s="216">
        <f>Assumptions!$F$8</f>
        <v>0.1</v>
      </c>
      <c r="E35" s="357">
        <f t="shared" ref="E35:X35" si="16">$D35*E34</f>
        <v>13000</v>
      </c>
      <c r="F35" s="133">
        <f t="shared" si="16"/>
        <v>10000</v>
      </c>
      <c r="G35" s="133">
        <f t="shared" si="16"/>
        <v>297000</v>
      </c>
      <c r="H35" s="133">
        <f t="shared" si="16"/>
        <v>291000</v>
      </c>
      <c r="I35" s="133">
        <f t="shared" si="16"/>
        <v>552500</v>
      </c>
      <c r="J35" s="133">
        <f t="shared" si="16"/>
        <v>110000</v>
      </c>
      <c r="K35" s="133">
        <v>0</v>
      </c>
      <c r="L35" s="133">
        <v>0</v>
      </c>
      <c r="M35" s="133">
        <v>0</v>
      </c>
      <c r="N35" s="133">
        <f t="shared" si="16"/>
        <v>0</v>
      </c>
      <c r="O35" s="133">
        <f t="shared" si="16"/>
        <v>0</v>
      </c>
      <c r="P35" s="133">
        <f t="shared" si="16"/>
        <v>0</v>
      </c>
      <c r="Q35" s="133">
        <f t="shared" si="16"/>
        <v>0</v>
      </c>
      <c r="R35" s="133">
        <f t="shared" si="16"/>
        <v>0</v>
      </c>
      <c r="S35" s="133">
        <f t="shared" si="16"/>
        <v>0</v>
      </c>
      <c r="T35" s="133">
        <f t="shared" si="16"/>
        <v>0</v>
      </c>
      <c r="U35" s="133">
        <f t="shared" si="16"/>
        <v>0</v>
      </c>
      <c r="V35" s="133">
        <f t="shared" si="16"/>
        <v>0</v>
      </c>
      <c r="W35" s="133">
        <f t="shared" si="16"/>
        <v>0</v>
      </c>
      <c r="X35" s="232">
        <f t="shared" si="16"/>
        <v>0</v>
      </c>
      <c r="Y35" s="231">
        <f t="shared" si="6"/>
        <v>1273500</v>
      </c>
      <c r="Z35" s="225"/>
      <c r="AA35" s="102"/>
      <c r="AB35" s="102"/>
      <c r="AC35" s="100"/>
    </row>
    <row r="36" spans="1:29" ht="15" customHeight="1" x14ac:dyDescent="0.25">
      <c r="A36" s="743"/>
      <c r="B36" s="851"/>
      <c r="C36" s="774" t="s">
        <v>60</v>
      </c>
      <c r="D36" s="215" t="s">
        <v>27</v>
      </c>
      <c r="E36" s="357">
        <f t="shared" ref="E36:X36" si="17">SUM(E34:E35)</f>
        <v>143000</v>
      </c>
      <c r="F36" s="133">
        <f t="shared" si="17"/>
        <v>110000</v>
      </c>
      <c r="G36" s="133">
        <f t="shared" si="17"/>
        <v>3267000</v>
      </c>
      <c r="H36" s="133">
        <f t="shared" si="17"/>
        <v>3201000</v>
      </c>
      <c r="I36" s="133">
        <f t="shared" si="17"/>
        <v>6077500</v>
      </c>
      <c r="J36" s="133">
        <f t="shared" si="17"/>
        <v>1210000</v>
      </c>
      <c r="K36" s="133">
        <f>SUM(K34:K35)</f>
        <v>7050000</v>
      </c>
      <c r="L36" s="133">
        <f t="shared" ref="L36" si="18">SUM(L34:L35)</f>
        <v>10000000</v>
      </c>
      <c r="M36" s="133">
        <f t="shared" si="17"/>
        <v>201000</v>
      </c>
      <c r="N36" s="133">
        <f t="shared" ref="N36:W36" si="19">SUM(N34:N35)</f>
        <v>0</v>
      </c>
      <c r="O36" s="133">
        <f t="shared" si="19"/>
        <v>0</v>
      </c>
      <c r="P36" s="133">
        <f t="shared" si="19"/>
        <v>0</v>
      </c>
      <c r="Q36" s="133">
        <f t="shared" si="19"/>
        <v>0</v>
      </c>
      <c r="R36" s="133">
        <f t="shared" si="19"/>
        <v>0</v>
      </c>
      <c r="S36" s="133">
        <f t="shared" si="19"/>
        <v>0</v>
      </c>
      <c r="T36" s="133">
        <f t="shared" si="19"/>
        <v>0</v>
      </c>
      <c r="U36" s="133">
        <f t="shared" si="19"/>
        <v>0</v>
      </c>
      <c r="V36" s="133">
        <f t="shared" si="19"/>
        <v>0</v>
      </c>
      <c r="W36" s="133">
        <f t="shared" si="19"/>
        <v>0</v>
      </c>
      <c r="X36" s="232">
        <f t="shared" si="17"/>
        <v>0</v>
      </c>
      <c r="Y36" s="231">
        <f t="shared" si="6"/>
        <v>31259500</v>
      </c>
      <c r="Z36" s="224"/>
      <c r="AA36" s="102"/>
      <c r="AB36" s="102"/>
      <c r="AC36" s="100"/>
    </row>
    <row r="37" spans="1:29" x14ac:dyDescent="0.25">
      <c r="A37" s="743"/>
      <c r="B37" s="851"/>
      <c r="C37" s="774" t="s">
        <v>61</v>
      </c>
      <c r="D37" s="216" t="s">
        <v>62</v>
      </c>
      <c r="E37" s="449">
        <f t="shared" ref="E37:M37" si="20">E32/$Y$32</f>
        <v>5.208333333333333E-3</v>
      </c>
      <c r="F37" s="450">
        <f t="shared" si="20"/>
        <v>5.208333333333333E-3</v>
      </c>
      <c r="G37" s="450">
        <f t="shared" si="20"/>
        <v>0.140625</v>
      </c>
      <c r="H37" s="450">
        <f t="shared" si="20"/>
        <v>0.140625</v>
      </c>
      <c r="I37" s="450">
        <f t="shared" si="20"/>
        <v>0.28385416666666669</v>
      </c>
      <c r="J37" s="450">
        <f t="shared" si="20"/>
        <v>5.7291666666666664E-2</v>
      </c>
      <c r="K37" s="450">
        <f t="shared" si="20"/>
        <v>0.3671875</v>
      </c>
      <c r="L37" s="450">
        <f t="shared" si="20"/>
        <v>0</v>
      </c>
      <c r="M37" s="450">
        <f t="shared" si="20"/>
        <v>0</v>
      </c>
      <c r="N37" s="450">
        <f t="shared" ref="N37:W37" si="21">N32/$Y$32</f>
        <v>0</v>
      </c>
      <c r="O37" s="450">
        <f t="shared" si="21"/>
        <v>0</v>
      </c>
      <c r="P37" s="450">
        <f t="shared" si="21"/>
        <v>0</v>
      </c>
      <c r="Q37" s="450">
        <f t="shared" si="21"/>
        <v>0</v>
      </c>
      <c r="R37" s="450">
        <f t="shared" si="21"/>
        <v>0</v>
      </c>
      <c r="S37" s="450">
        <f t="shared" si="21"/>
        <v>0</v>
      </c>
      <c r="T37" s="450">
        <f t="shared" si="21"/>
        <v>0</v>
      </c>
      <c r="U37" s="450">
        <f t="shared" si="21"/>
        <v>0</v>
      </c>
      <c r="V37" s="450">
        <f t="shared" si="21"/>
        <v>0</v>
      </c>
      <c r="W37" s="450">
        <f t="shared" si="21"/>
        <v>0</v>
      </c>
      <c r="X37" s="451">
        <f>X32/$Y$32</f>
        <v>0</v>
      </c>
      <c r="Y37" s="452">
        <f t="shared" si="6"/>
        <v>0.99999999999999989</v>
      </c>
      <c r="Z37" s="225"/>
      <c r="AA37" s="102"/>
      <c r="AB37" s="102"/>
      <c r="AC37" s="100"/>
    </row>
    <row r="38" spans="1:29" ht="15" customHeight="1" thickBot="1" x14ac:dyDescent="0.3">
      <c r="A38" s="743"/>
      <c r="B38" s="851"/>
      <c r="C38" s="775" t="s">
        <v>63</v>
      </c>
      <c r="D38" s="217" t="s">
        <v>27</v>
      </c>
      <c r="E38" s="358">
        <f t="shared" ref="E38:M38" si="22">$Y$38*E37</f>
        <v>18229.166666666664</v>
      </c>
      <c r="F38" s="105">
        <f t="shared" si="22"/>
        <v>18229.166666666664</v>
      </c>
      <c r="G38" s="105">
        <f t="shared" si="22"/>
        <v>492187.5</v>
      </c>
      <c r="H38" s="105">
        <f t="shared" si="22"/>
        <v>492187.5</v>
      </c>
      <c r="I38" s="105">
        <f t="shared" si="22"/>
        <v>993489.58333333337</v>
      </c>
      <c r="J38" s="105">
        <f t="shared" si="22"/>
        <v>200520.83333333331</v>
      </c>
      <c r="K38" s="105">
        <f t="shared" si="22"/>
        <v>1285156.25</v>
      </c>
      <c r="L38" s="105">
        <f t="shared" si="22"/>
        <v>0</v>
      </c>
      <c r="M38" s="105">
        <f t="shared" si="22"/>
        <v>0</v>
      </c>
      <c r="N38" s="105">
        <f t="shared" ref="N38:W38" si="23">$Y$38*N37</f>
        <v>0</v>
      </c>
      <c r="O38" s="105">
        <f t="shared" si="23"/>
        <v>0</v>
      </c>
      <c r="P38" s="105">
        <f t="shared" si="23"/>
        <v>0</v>
      </c>
      <c r="Q38" s="105">
        <f t="shared" si="23"/>
        <v>0</v>
      </c>
      <c r="R38" s="105">
        <f t="shared" si="23"/>
        <v>0</v>
      </c>
      <c r="S38" s="105">
        <f t="shared" si="23"/>
        <v>0</v>
      </c>
      <c r="T38" s="105">
        <f t="shared" si="23"/>
        <v>0</v>
      </c>
      <c r="U38" s="105">
        <f t="shared" si="23"/>
        <v>0</v>
      </c>
      <c r="V38" s="105">
        <f t="shared" si="23"/>
        <v>0</v>
      </c>
      <c r="W38" s="105">
        <f t="shared" si="23"/>
        <v>0</v>
      </c>
      <c r="X38" s="234">
        <f>$Y$38*X37</f>
        <v>0</v>
      </c>
      <c r="Y38" s="233">
        <f>Assumptions!$F$7</f>
        <v>3500000</v>
      </c>
      <c r="Z38" s="226"/>
      <c r="AA38" s="106"/>
      <c r="AB38" s="106"/>
      <c r="AC38" s="101"/>
    </row>
    <row r="39" spans="1:29" ht="15" customHeight="1" x14ac:dyDescent="0.25">
      <c r="A39" s="142"/>
      <c r="B39" s="134"/>
      <c r="C39" s="3"/>
      <c r="D39" s="127"/>
      <c r="E39" s="71"/>
      <c r="F39" s="71"/>
      <c r="G39" s="71"/>
      <c r="H39" s="71"/>
      <c r="I39" s="71"/>
      <c r="J39" s="71"/>
      <c r="K39" s="71"/>
      <c r="L39" s="71"/>
      <c r="M39" s="71"/>
      <c r="N39" s="71"/>
      <c r="O39" s="71"/>
      <c r="P39" s="71"/>
      <c r="Q39" s="71"/>
      <c r="R39" s="71"/>
      <c r="S39" s="71"/>
      <c r="T39" s="71"/>
      <c r="U39" s="71"/>
      <c r="V39" s="71"/>
      <c r="W39" s="71"/>
      <c r="X39" s="71"/>
      <c r="Y39" s="71"/>
      <c r="Z39" s="127"/>
      <c r="AA39" s="143"/>
      <c r="AB39" s="143"/>
      <c r="AC39" s="143"/>
    </row>
    <row r="40" spans="1:29" ht="21.75" thickBot="1" x14ac:dyDescent="0.3">
      <c r="A40" s="740" t="s">
        <v>476</v>
      </c>
      <c r="B40" s="134"/>
      <c r="C40" s="3"/>
      <c r="D40" s="127"/>
      <c r="E40" s="71"/>
      <c r="F40" s="71"/>
      <c r="G40" s="71"/>
      <c r="H40" s="71"/>
      <c r="I40" s="71"/>
      <c r="J40" s="71"/>
      <c r="K40" s="71"/>
      <c r="L40" s="71"/>
      <c r="M40" s="71"/>
      <c r="N40" s="71"/>
      <c r="O40" s="71"/>
      <c r="P40" s="71"/>
      <c r="Q40" s="71"/>
      <c r="R40" s="71"/>
      <c r="S40" s="71"/>
      <c r="T40" s="71"/>
      <c r="U40" s="71"/>
      <c r="V40" s="71"/>
      <c r="W40" s="71"/>
      <c r="X40" s="71"/>
      <c r="Y40" s="71"/>
      <c r="Z40" s="127"/>
      <c r="AA40" s="143"/>
      <c r="AB40" s="143"/>
      <c r="AC40" s="143"/>
    </row>
    <row r="41" spans="1:29" ht="15" customHeight="1" x14ac:dyDescent="0.25">
      <c r="A41" s="743"/>
      <c r="B41" s="743"/>
      <c r="C41" s="785" t="s">
        <v>64</v>
      </c>
      <c r="D41" s="81" t="s">
        <v>65</v>
      </c>
      <c r="E41" s="161">
        <v>2</v>
      </c>
      <c r="F41" s="144">
        <v>6</v>
      </c>
      <c r="G41" s="135">
        <v>6</v>
      </c>
      <c r="H41" s="135">
        <v>7</v>
      </c>
      <c r="I41" s="135">
        <v>6</v>
      </c>
      <c r="J41" s="135">
        <v>12</v>
      </c>
      <c r="K41" s="135">
        <v>4</v>
      </c>
      <c r="L41" s="135">
        <f>K44</f>
        <v>138</v>
      </c>
      <c r="M41" s="135">
        <v>120</v>
      </c>
      <c r="N41" s="560"/>
      <c r="O41" s="560"/>
      <c r="P41" s="560"/>
      <c r="Q41" s="560"/>
      <c r="R41" s="560"/>
      <c r="S41" s="560"/>
      <c r="T41" s="560"/>
      <c r="U41" s="560"/>
      <c r="V41" s="560"/>
      <c r="W41" s="560"/>
      <c r="X41" s="136"/>
    </row>
    <row r="42" spans="1:29" ht="15" customHeight="1" x14ac:dyDescent="0.25">
      <c r="A42" s="743"/>
      <c r="B42" s="743"/>
      <c r="C42" s="786" t="s">
        <v>66</v>
      </c>
      <c r="D42" s="16" t="s">
        <v>65</v>
      </c>
      <c r="E42" s="162">
        <f t="shared" ref="E42:I42" si="24">E41</f>
        <v>2</v>
      </c>
      <c r="F42" s="1">
        <f t="shared" si="24"/>
        <v>6</v>
      </c>
      <c r="G42" s="1">
        <f t="shared" si="24"/>
        <v>6</v>
      </c>
      <c r="H42" s="1">
        <f t="shared" si="24"/>
        <v>7</v>
      </c>
      <c r="I42" s="1">
        <f t="shared" si="24"/>
        <v>6</v>
      </c>
      <c r="J42" s="1">
        <f>J41</f>
        <v>12</v>
      </c>
      <c r="K42" s="1">
        <v>18</v>
      </c>
      <c r="L42" s="1">
        <f>L41</f>
        <v>138</v>
      </c>
      <c r="M42" s="1">
        <f>M41</f>
        <v>120</v>
      </c>
      <c r="N42" s="128">
        <f t="shared" ref="N42:W42" si="25">N41</f>
        <v>0</v>
      </c>
      <c r="O42" s="128">
        <f t="shared" si="25"/>
        <v>0</v>
      </c>
      <c r="P42" s="128">
        <f t="shared" si="25"/>
        <v>0</v>
      </c>
      <c r="Q42" s="128">
        <f t="shared" si="25"/>
        <v>0</v>
      </c>
      <c r="R42" s="128">
        <f t="shared" si="25"/>
        <v>0</v>
      </c>
      <c r="S42" s="128">
        <f t="shared" si="25"/>
        <v>0</v>
      </c>
      <c r="T42" s="128">
        <f t="shared" si="25"/>
        <v>0</v>
      </c>
      <c r="U42" s="128">
        <f t="shared" si="25"/>
        <v>0</v>
      </c>
      <c r="V42" s="128">
        <f t="shared" si="25"/>
        <v>0</v>
      </c>
      <c r="W42" s="128">
        <f t="shared" si="25"/>
        <v>0</v>
      </c>
      <c r="X42" s="128">
        <f>X41</f>
        <v>0</v>
      </c>
    </row>
    <row r="43" spans="1:29" ht="15" customHeight="1" x14ac:dyDescent="0.25">
      <c r="A43" s="743"/>
      <c r="B43" s="743"/>
      <c r="C43" s="786" t="s">
        <v>67</v>
      </c>
      <c r="D43" s="16" t="s">
        <v>68</v>
      </c>
      <c r="E43" s="162">
        <f>Assumptions!$F$12</f>
        <v>20</v>
      </c>
      <c r="F43" s="1">
        <f>Assumptions!$F$12</f>
        <v>20</v>
      </c>
      <c r="G43" s="1">
        <f>Assumptions!$F$12</f>
        <v>20</v>
      </c>
      <c r="H43" s="1">
        <f>Assumptions!$F$12</f>
        <v>20</v>
      </c>
      <c r="I43" s="1">
        <f>Assumptions!$F$12</f>
        <v>20</v>
      </c>
      <c r="J43" s="1">
        <f>Assumptions!$F$12</f>
        <v>20</v>
      </c>
      <c r="K43" s="1">
        <v>10</v>
      </c>
      <c r="L43" s="1">
        <v>15</v>
      </c>
      <c r="M43" s="1">
        <v>10</v>
      </c>
      <c r="N43" s="128">
        <f>Assumptions!$F$12</f>
        <v>20</v>
      </c>
      <c r="O43" s="128">
        <f>Assumptions!$F$12</f>
        <v>20</v>
      </c>
      <c r="P43" s="128">
        <f>Assumptions!$F$12</f>
        <v>20</v>
      </c>
      <c r="Q43" s="128">
        <f>Assumptions!$F$12</f>
        <v>20</v>
      </c>
      <c r="R43" s="128">
        <f>Assumptions!$F$12</f>
        <v>20</v>
      </c>
      <c r="S43" s="128">
        <f>Assumptions!$F$12</f>
        <v>20</v>
      </c>
      <c r="T43" s="128">
        <f>Assumptions!$F$12</f>
        <v>20</v>
      </c>
      <c r="U43" s="128">
        <f>Assumptions!$F$12</f>
        <v>20</v>
      </c>
      <c r="V43" s="128">
        <f>Assumptions!$F$12</f>
        <v>20</v>
      </c>
      <c r="W43" s="128">
        <f>Assumptions!$F$12</f>
        <v>20</v>
      </c>
      <c r="X43" s="128">
        <f>Assumptions!$F$12</f>
        <v>20</v>
      </c>
    </row>
    <row r="44" spans="1:29" ht="15" customHeight="1" x14ac:dyDescent="0.25">
      <c r="A44" s="743"/>
      <c r="B44" s="743"/>
      <c r="C44" s="786" t="s">
        <v>69</v>
      </c>
      <c r="D44" s="16" t="s">
        <v>65</v>
      </c>
      <c r="E44" s="163">
        <f t="shared" ref="E44:X44" si="26">E42+E43*12</f>
        <v>242</v>
      </c>
      <c r="F44" s="28">
        <f t="shared" si="26"/>
        <v>246</v>
      </c>
      <c r="G44" s="28">
        <f t="shared" si="26"/>
        <v>246</v>
      </c>
      <c r="H44" s="28">
        <f t="shared" si="26"/>
        <v>247</v>
      </c>
      <c r="I44" s="28">
        <f t="shared" si="26"/>
        <v>246</v>
      </c>
      <c r="J44" s="28">
        <f t="shared" si="26"/>
        <v>252</v>
      </c>
      <c r="K44" s="28">
        <f>K42+K43*12</f>
        <v>138</v>
      </c>
      <c r="L44" s="28">
        <f>L42+L43*12</f>
        <v>318</v>
      </c>
      <c r="M44" s="28">
        <f t="shared" si="26"/>
        <v>240</v>
      </c>
      <c r="N44" s="129">
        <f t="shared" ref="N44:W44" si="27">N42+N43*12</f>
        <v>240</v>
      </c>
      <c r="O44" s="129">
        <f t="shared" si="27"/>
        <v>240</v>
      </c>
      <c r="P44" s="129">
        <f t="shared" si="27"/>
        <v>240</v>
      </c>
      <c r="Q44" s="129">
        <f t="shared" si="27"/>
        <v>240</v>
      </c>
      <c r="R44" s="129">
        <f t="shared" si="27"/>
        <v>240</v>
      </c>
      <c r="S44" s="129">
        <f t="shared" si="27"/>
        <v>240</v>
      </c>
      <c r="T44" s="129">
        <f t="shared" si="27"/>
        <v>240</v>
      </c>
      <c r="U44" s="129">
        <f t="shared" si="27"/>
        <v>240</v>
      </c>
      <c r="V44" s="129">
        <f t="shared" si="27"/>
        <v>240</v>
      </c>
      <c r="W44" s="129">
        <f t="shared" si="27"/>
        <v>240</v>
      </c>
      <c r="X44" s="129">
        <f t="shared" si="26"/>
        <v>240</v>
      </c>
    </row>
    <row r="45" spans="1:29" ht="15" customHeight="1" x14ac:dyDescent="0.25">
      <c r="A45" s="743"/>
      <c r="B45" s="743"/>
      <c r="C45" s="787" t="s">
        <v>70</v>
      </c>
      <c r="D45" s="16" t="s">
        <v>71</v>
      </c>
      <c r="E45" s="189">
        <f>EDATE(Assumptions!$F$9,E42)</f>
        <v>46357</v>
      </c>
      <c r="F45" s="189">
        <f>EDATE(Assumptions!$F$9,F42)</f>
        <v>46478</v>
      </c>
      <c r="G45" s="189">
        <f>EDATE(Assumptions!$F$9,G42)</f>
        <v>46478</v>
      </c>
      <c r="H45" s="189">
        <f>EDATE(Assumptions!$F$9,H42)</f>
        <v>46508</v>
      </c>
      <c r="I45" s="189">
        <f>EDATE(Assumptions!$F$9,I42)</f>
        <v>46478</v>
      </c>
      <c r="J45" s="189">
        <f>EDATE(Assumptions!$F$9,J42)</f>
        <v>46661</v>
      </c>
      <c r="K45" s="189">
        <f>EDATE(Assumptions!$F$9,K42)</f>
        <v>46844</v>
      </c>
      <c r="L45" s="189">
        <f>EDATE(Assumptions!$F$9,L42)</f>
        <v>50496</v>
      </c>
      <c r="M45" s="189">
        <f>EDATE(Assumptions!$F$9,M42)</f>
        <v>49949</v>
      </c>
      <c r="N45" s="788">
        <f>EDATE(Assumptions!$F$9,N42)</f>
        <v>46296</v>
      </c>
      <c r="O45" s="788">
        <f>EDATE(Assumptions!$F$9,O42)</f>
        <v>46296</v>
      </c>
      <c r="P45" s="788">
        <f>EDATE(Assumptions!$F$9,P42)</f>
        <v>46296</v>
      </c>
      <c r="Q45" s="788">
        <f>EDATE(Assumptions!$F$9,Q42)</f>
        <v>46296</v>
      </c>
      <c r="R45" s="788">
        <f>EDATE(Assumptions!$F$9,R42)</f>
        <v>46296</v>
      </c>
      <c r="S45" s="788">
        <f>EDATE(Assumptions!$F$9,S42)</f>
        <v>46296</v>
      </c>
      <c r="T45" s="788">
        <f>EDATE(Assumptions!$F$9,T42)</f>
        <v>46296</v>
      </c>
      <c r="U45" s="788">
        <f>EDATE(Assumptions!$F$9,U42)</f>
        <v>46296</v>
      </c>
      <c r="V45" s="788">
        <f>EDATE(Assumptions!$F$9,V42)</f>
        <v>46296</v>
      </c>
      <c r="W45" s="788">
        <f>EDATE(Assumptions!$F$9,W42)</f>
        <v>46296</v>
      </c>
      <c r="X45" s="788">
        <f>EDATE(Assumptions!$F$9,X42)</f>
        <v>46296</v>
      </c>
    </row>
    <row r="46" spans="1:29" ht="15" customHeight="1" x14ac:dyDescent="0.25">
      <c r="A46" s="743"/>
      <c r="B46" s="743"/>
      <c r="C46" s="787" t="s">
        <v>72</v>
      </c>
      <c r="D46" s="16" t="s">
        <v>71</v>
      </c>
      <c r="E46" s="189">
        <f t="shared" ref="E46:X46" si="28">EDATE(E45,12*E43)</f>
        <v>53662</v>
      </c>
      <c r="F46" s="189">
        <f t="shared" si="28"/>
        <v>53783</v>
      </c>
      <c r="G46" s="189">
        <f t="shared" si="28"/>
        <v>53783</v>
      </c>
      <c r="H46" s="189">
        <f t="shared" si="28"/>
        <v>53813</v>
      </c>
      <c r="I46" s="189">
        <f t="shared" si="28"/>
        <v>53783</v>
      </c>
      <c r="J46" s="189">
        <f t="shared" si="28"/>
        <v>53966</v>
      </c>
      <c r="K46" s="189">
        <f>EDATE(K45,12*K43)</f>
        <v>50496</v>
      </c>
      <c r="L46" s="189">
        <f>EDATE(L45,12*L43)</f>
        <v>55975</v>
      </c>
      <c r="M46" s="189">
        <f t="shared" si="28"/>
        <v>53601</v>
      </c>
      <c r="N46" s="788">
        <f t="shared" ref="N46:W46" si="29">EDATE(N45,12*N43)</f>
        <v>53601</v>
      </c>
      <c r="O46" s="788">
        <f t="shared" si="29"/>
        <v>53601</v>
      </c>
      <c r="P46" s="788">
        <f t="shared" si="29"/>
        <v>53601</v>
      </c>
      <c r="Q46" s="788">
        <f t="shared" si="29"/>
        <v>53601</v>
      </c>
      <c r="R46" s="788">
        <f t="shared" si="29"/>
        <v>53601</v>
      </c>
      <c r="S46" s="788">
        <f t="shared" si="29"/>
        <v>53601</v>
      </c>
      <c r="T46" s="788">
        <f t="shared" si="29"/>
        <v>53601</v>
      </c>
      <c r="U46" s="788">
        <f t="shared" si="29"/>
        <v>53601</v>
      </c>
      <c r="V46" s="788">
        <f t="shared" si="29"/>
        <v>53601</v>
      </c>
      <c r="W46" s="788">
        <f t="shared" si="29"/>
        <v>53601</v>
      </c>
      <c r="X46" s="788">
        <f t="shared" si="28"/>
        <v>53601</v>
      </c>
    </row>
    <row r="47" spans="1:29" ht="15" customHeight="1" x14ac:dyDescent="0.25">
      <c r="A47" s="743"/>
      <c r="B47" s="743"/>
      <c r="C47" s="786" t="s">
        <v>73</v>
      </c>
      <c r="D47" s="16" t="s">
        <v>62</v>
      </c>
      <c r="E47" s="164"/>
      <c r="F47" s="83"/>
      <c r="G47" s="83">
        <f>Assumptions!$F$35*Assumptions!$F$53</f>
        <v>0.25</v>
      </c>
      <c r="H47" s="83">
        <f>Assumptions!$F$27*Assumptions!$F$53</f>
        <v>0.19</v>
      </c>
      <c r="I47" s="83">
        <f>Assumptions!$F$60*Assumptions!$F$62</f>
        <v>0.35</v>
      </c>
      <c r="J47" s="83">
        <v>0.95</v>
      </c>
      <c r="K47" s="83"/>
      <c r="L47" s="83"/>
      <c r="M47" s="83"/>
      <c r="N47" s="836"/>
      <c r="O47" s="836"/>
      <c r="P47" s="836"/>
      <c r="Q47" s="836"/>
      <c r="R47" s="836"/>
      <c r="S47" s="836"/>
      <c r="T47" s="836"/>
      <c r="U47" s="836"/>
      <c r="V47" s="836"/>
      <c r="W47" s="836"/>
      <c r="X47" s="158"/>
    </row>
    <row r="48" spans="1:29" ht="15" customHeight="1" thickBot="1" x14ac:dyDescent="0.3">
      <c r="A48" s="743"/>
      <c r="B48" s="743"/>
      <c r="C48" s="789" t="s">
        <v>74</v>
      </c>
      <c r="D48" s="17" t="s">
        <v>75</v>
      </c>
      <c r="E48" s="257">
        <f t="shared" ref="E48:J48" si="30">365*24*E$47</f>
        <v>0</v>
      </c>
      <c r="F48" s="258">
        <f t="shared" si="30"/>
        <v>0</v>
      </c>
      <c r="G48" s="258">
        <f t="shared" si="30"/>
        <v>2190</v>
      </c>
      <c r="H48" s="258">
        <f t="shared" si="30"/>
        <v>1664.4</v>
      </c>
      <c r="I48" s="258">
        <f t="shared" si="30"/>
        <v>3066</v>
      </c>
      <c r="J48" s="258">
        <f t="shared" si="30"/>
        <v>8322</v>
      </c>
      <c r="K48" s="258">
        <f t="shared" ref="K48:X48" si="31">365*24*K$47</f>
        <v>0</v>
      </c>
      <c r="L48" s="258">
        <f t="shared" si="31"/>
        <v>0</v>
      </c>
      <c r="M48" s="258">
        <f t="shared" si="31"/>
        <v>0</v>
      </c>
      <c r="N48" s="258">
        <f t="shared" si="31"/>
        <v>0</v>
      </c>
      <c r="O48" s="258">
        <f t="shared" si="31"/>
        <v>0</v>
      </c>
      <c r="P48" s="258">
        <f t="shared" si="31"/>
        <v>0</v>
      </c>
      <c r="Q48" s="258">
        <f t="shared" si="31"/>
        <v>0</v>
      </c>
      <c r="R48" s="258">
        <f t="shared" si="31"/>
        <v>0</v>
      </c>
      <c r="S48" s="258">
        <f t="shared" si="31"/>
        <v>0</v>
      </c>
      <c r="T48" s="258">
        <f t="shared" si="31"/>
        <v>0</v>
      </c>
      <c r="U48" s="258">
        <f t="shared" si="31"/>
        <v>0</v>
      </c>
      <c r="V48" s="258">
        <f t="shared" si="31"/>
        <v>0</v>
      </c>
      <c r="W48" s="258">
        <f t="shared" si="31"/>
        <v>0</v>
      </c>
      <c r="X48" s="258">
        <f t="shared" si="31"/>
        <v>0</v>
      </c>
    </row>
    <row r="49" spans="1:30" ht="15" customHeight="1" x14ac:dyDescent="0.25">
      <c r="A49" s="142"/>
      <c r="B49" s="134"/>
      <c r="C49" s="3"/>
      <c r="D49" s="127"/>
      <c r="E49" s="71"/>
      <c r="F49" s="71"/>
      <c r="G49" s="71"/>
      <c r="H49" s="71"/>
      <c r="I49" s="71"/>
      <c r="J49" s="71"/>
      <c r="K49" s="71"/>
      <c r="L49" s="71"/>
      <c r="M49" s="71"/>
      <c r="N49" s="71"/>
      <c r="O49" s="71"/>
      <c r="P49" s="71"/>
      <c r="Q49" s="71"/>
      <c r="R49" s="71"/>
      <c r="S49" s="71"/>
      <c r="T49" s="71"/>
      <c r="U49" s="71"/>
      <c r="V49" s="71"/>
      <c r="W49" s="71"/>
      <c r="X49" s="71"/>
      <c r="Y49" s="71"/>
      <c r="Z49" s="127"/>
      <c r="AA49" s="143"/>
      <c r="AB49" s="143"/>
      <c r="AC49" s="143"/>
    </row>
    <row r="50" spans="1:30" ht="21" x14ac:dyDescent="0.25">
      <c r="A50" s="740" t="s">
        <v>477</v>
      </c>
      <c r="B50" s="134"/>
      <c r="C50" s="3"/>
      <c r="D50" s="127"/>
      <c r="E50" s="71"/>
      <c r="F50" s="71"/>
      <c r="G50" s="71"/>
      <c r="H50" s="71"/>
      <c r="I50" s="71"/>
      <c r="J50" s="71"/>
      <c r="K50" s="71"/>
      <c r="L50" s="71"/>
      <c r="M50" s="71"/>
      <c r="N50" s="71"/>
      <c r="O50" s="71"/>
      <c r="P50" s="71"/>
      <c r="Q50" s="71"/>
      <c r="R50" s="71"/>
      <c r="S50" s="71"/>
      <c r="T50" s="71"/>
      <c r="U50" s="71"/>
      <c r="V50" s="71"/>
      <c r="W50" s="71"/>
      <c r="X50" s="71"/>
      <c r="Y50" s="71"/>
      <c r="Z50" s="127"/>
      <c r="AA50" s="143"/>
      <c r="AB50" s="143"/>
      <c r="AC50" s="143"/>
    </row>
    <row r="51" spans="1:30" ht="16.5" thickBot="1" x14ac:dyDescent="0.3">
      <c r="A51" s="142"/>
      <c r="B51" s="412" t="s">
        <v>76</v>
      </c>
      <c r="C51" s="3"/>
      <c r="D51" s="127"/>
      <c r="E51" s="71"/>
      <c r="F51" s="71"/>
      <c r="G51" s="71"/>
      <c r="H51" s="71"/>
      <c r="I51" s="71"/>
      <c r="J51" s="71"/>
      <c r="K51" s="71"/>
      <c r="L51" s="71"/>
      <c r="M51" s="71"/>
      <c r="N51" s="71"/>
      <c r="O51" s="71"/>
      <c r="P51" s="71"/>
      <c r="Q51" s="71"/>
      <c r="R51" s="71"/>
      <c r="S51" s="71"/>
      <c r="T51" s="71"/>
      <c r="U51" s="71"/>
      <c r="V51" s="71"/>
      <c r="W51" s="71"/>
      <c r="X51" s="71"/>
      <c r="Y51" s="71"/>
      <c r="Z51" s="127"/>
      <c r="AA51" s="143"/>
      <c r="AB51" s="143"/>
      <c r="AC51" s="143"/>
    </row>
    <row r="52" spans="1:30" ht="15" customHeight="1" x14ac:dyDescent="0.25">
      <c r="A52" s="749"/>
      <c r="B52" s="750"/>
      <c r="C52" s="790" t="s">
        <v>77</v>
      </c>
      <c r="D52" s="266" t="s">
        <v>33</v>
      </c>
      <c r="E52" s="135"/>
      <c r="F52" s="135"/>
      <c r="G52" s="135"/>
      <c r="H52" s="135"/>
      <c r="I52" s="135"/>
      <c r="J52" s="135">
        <v>0.01</v>
      </c>
      <c r="K52" s="135"/>
      <c r="L52" s="135"/>
      <c r="M52" s="135"/>
      <c r="N52" s="560"/>
      <c r="O52" s="560"/>
      <c r="P52" s="560"/>
      <c r="Q52" s="560"/>
      <c r="R52" s="560"/>
      <c r="S52" s="560"/>
      <c r="T52" s="560"/>
      <c r="U52" s="560"/>
      <c r="V52" s="560"/>
      <c r="W52" s="560"/>
      <c r="X52" s="560"/>
      <c r="Y52" s="562">
        <f t="shared" ref="Y52:Y58" si="32">SUM(E52:X52)</f>
        <v>0.01</v>
      </c>
      <c r="Z52" s="169"/>
    </row>
    <row r="53" spans="1:30" ht="15" customHeight="1" x14ac:dyDescent="0.25">
      <c r="A53" s="749"/>
      <c r="B53" s="750"/>
      <c r="C53" s="758" t="s">
        <v>78</v>
      </c>
      <c r="D53" s="20" t="s">
        <v>79</v>
      </c>
      <c r="E53" s="6"/>
      <c r="F53" s="6"/>
      <c r="G53" s="6"/>
      <c r="H53" s="6"/>
      <c r="I53" s="6"/>
      <c r="J53" s="6">
        <v>0.1</v>
      </c>
      <c r="K53" s="6"/>
      <c r="L53" s="6"/>
      <c r="M53" s="6"/>
      <c r="N53" s="439"/>
      <c r="O53" s="439"/>
      <c r="P53" s="439"/>
      <c r="Q53" s="439"/>
      <c r="R53" s="439"/>
      <c r="S53" s="439"/>
      <c r="T53" s="439"/>
      <c r="U53" s="439"/>
      <c r="V53" s="439"/>
      <c r="W53" s="439"/>
      <c r="X53" s="439"/>
      <c r="Y53" s="563">
        <f t="shared" si="32"/>
        <v>0.1</v>
      </c>
      <c r="Z53" s="169"/>
    </row>
    <row r="54" spans="1:30" ht="15" customHeight="1" x14ac:dyDescent="0.25">
      <c r="A54" s="749"/>
      <c r="B54" s="750"/>
      <c r="C54" s="758" t="s">
        <v>80</v>
      </c>
      <c r="D54" s="20" t="s">
        <v>81</v>
      </c>
      <c r="E54" s="6"/>
      <c r="F54" s="6"/>
      <c r="G54" s="6"/>
      <c r="H54" s="6"/>
      <c r="I54" s="6"/>
      <c r="J54" s="6"/>
      <c r="K54" s="6"/>
      <c r="L54" s="6"/>
      <c r="M54" s="6"/>
      <c r="N54" s="439"/>
      <c r="O54" s="439"/>
      <c r="P54" s="439"/>
      <c r="Q54" s="439"/>
      <c r="R54" s="439"/>
      <c r="S54" s="439"/>
      <c r="T54" s="439"/>
      <c r="U54" s="439"/>
      <c r="V54" s="439"/>
      <c r="W54" s="439"/>
      <c r="X54" s="439"/>
      <c r="Y54" s="563">
        <f t="shared" si="32"/>
        <v>0</v>
      </c>
      <c r="Z54" s="169"/>
    </row>
    <row r="55" spans="1:30" ht="15" customHeight="1" x14ac:dyDescent="0.25">
      <c r="A55" s="749"/>
      <c r="B55" s="750"/>
      <c r="C55" s="758" t="s">
        <v>82</v>
      </c>
      <c r="D55" s="20" t="s">
        <v>83</v>
      </c>
      <c r="E55" s="6"/>
      <c r="F55" s="6"/>
      <c r="G55" s="6"/>
      <c r="H55" s="6"/>
      <c r="I55" s="6"/>
      <c r="J55" s="6"/>
      <c r="K55" s="6"/>
      <c r="L55" s="6"/>
      <c r="M55" s="6"/>
      <c r="N55" s="439"/>
      <c r="O55" s="439"/>
      <c r="P55" s="439"/>
      <c r="Q55" s="439"/>
      <c r="R55" s="439"/>
      <c r="S55" s="439"/>
      <c r="T55" s="439"/>
      <c r="U55" s="439"/>
      <c r="V55" s="439"/>
      <c r="W55" s="439"/>
      <c r="X55" s="439"/>
      <c r="Y55" s="563">
        <f t="shared" si="32"/>
        <v>0</v>
      </c>
      <c r="Z55" s="169"/>
    </row>
    <row r="56" spans="1:30" ht="15" customHeight="1" x14ac:dyDescent="0.25">
      <c r="A56" s="749"/>
      <c r="B56" s="750"/>
      <c r="C56" s="758" t="s">
        <v>84</v>
      </c>
      <c r="D56" s="20" t="s">
        <v>81</v>
      </c>
      <c r="E56" s="6"/>
      <c r="F56" s="6"/>
      <c r="G56" s="6"/>
      <c r="H56" s="6"/>
      <c r="I56" s="6"/>
      <c r="J56" s="6"/>
      <c r="K56" s="6"/>
      <c r="L56" s="6"/>
      <c r="M56" s="6"/>
      <c r="N56" s="439"/>
      <c r="O56" s="439"/>
      <c r="P56" s="439"/>
      <c r="Q56" s="439"/>
      <c r="R56" s="439"/>
      <c r="S56" s="439"/>
      <c r="T56" s="439"/>
      <c r="U56" s="439"/>
      <c r="V56" s="439"/>
      <c r="W56" s="439"/>
      <c r="X56" s="439"/>
      <c r="Y56" s="563">
        <f t="shared" si="32"/>
        <v>0</v>
      </c>
      <c r="Z56" s="169"/>
    </row>
    <row r="57" spans="1:30" ht="15" customHeight="1" x14ac:dyDescent="0.25">
      <c r="A57" s="749"/>
      <c r="B57" s="750"/>
      <c r="C57" s="758" t="s">
        <v>85</v>
      </c>
      <c r="D57" s="20" t="s">
        <v>79</v>
      </c>
      <c r="E57" s="6"/>
      <c r="F57" s="6"/>
      <c r="G57" s="6"/>
      <c r="H57" s="6"/>
      <c r="I57" s="6"/>
      <c r="J57" s="6"/>
      <c r="K57" s="6"/>
      <c r="L57" s="6"/>
      <c r="M57" s="6"/>
      <c r="N57" s="439"/>
      <c r="O57" s="439"/>
      <c r="P57" s="439"/>
      <c r="Q57" s="439"/>
      <c r="R57" s="439"/>
      <c r="S57" s="439"/>
      <c r="T57" s="439"/>
      <c r="U57" s="439"/>
      <c r="V57" s="439"/>
      <c r="W57" s="439"/>
      <c r="X57" s="439"/>
      <c r="Y57" s="563">
        <f t="shared" si="32"/>
        <v>0</v>
      </c>
      <c r="Z57" s="169"/>
    </row>
    <row r="58" spans="1:30" ht="15" customHeight="1" thickBot="1" x14ac:dyDescent="0.3">
      <c r="A58" s="749"/>
      <c r="B58" s="750"/>
      <c r="C58" s="759" t="s">
        <v>493</v>
      </c>
      <c r="D58" s="791" t="s">
        <v>86</v>
      </c>
      <c r="E58" s="284"/>
      <c r="F58" s="284"/>
      <c r="G58" s="284"/>
      <c r="H58" s="284"/>
      <c r="I58" s="284"/>
      <c r="J58" s="284"/>
      <c r="K58" s="284"/>
      <c r="L58" s="284"/>
      <c r="M58" s="284"/>
      <c r="N58" s="792"/>
      <c r="O58" s="792"/>
      <c r="P58" s="792"/>
      <c r="Q58" s="792"/>
      <c r="R58" s="792"/>
      <c r="S58" s="792"/>
      <c r="T58" s="792"/>
      <c r="U58" s="792"/>
      <c r="V58" s="792"/>
      <c r="W58" s="792"/>
      <c r="X58" s="792"/>
      <c r="Y58" s="793">
        <f t="shared" si="32"/>
        <v>0</v>
      </c>
    </row>
    <row r="59" spans="1:30" ht="16.5" thickBot="1" x14ac:dyDescent="0.3">
      <c r="A59" s="749"/>
      <c r="B59" s="412" t="s">
        <v>87</v>
      </c>
      <c r="D59" s="127"/>
      <c r="X59"/>
      <c r="Y59" s="753"/>
      <c r="Z59" s="218" t="s">
        <v>23</v>
      </c>
      <c r="AA59" s="271" t="s">
        <v>24</v>
      </c>
      <c r="AB59" s="272" t="s">
        <v>25</v>
      </c>
      <c r="AC59" s="273" t="s">
        <v>26</v>
      </c>
      <c r="AD59" s="239" t="s">
        <v>27</v>
      </c>
    </row>
    <row r="60" spans="1:30" ht="15" customHeight="1" x14ac:dyDescent="0.25">
      <c r="A60" s="749"/>
      <c r="B60" s="750"/>
      <c r="C60" s="794" t="str">
        <f t="shared" ref="C60:C65" si="33">C52</f>
        <v>Grid electricity</v>
      </c>
      <c r="D60" s="266" t="s">
        <v>88</v>
      </c>
      <c r="E60" s="795">
        <f>'Project Model'!E$48*E52</f>
        <v>0</v>
      </c>
      <c r="F60" s="795">
        <f>'Project Model'!F$48*F52</f>
        <v>0</v>
      </c>
      <c r="G60" s="795">
        <f>'Project Model'!G$48*G52</f>
        <v>0</v>
      </c>
      <c r="H60" s="795">
        <f>'Project Model'!H$48*H52</f>
        <v>0</v>
      </c>
      <c r="I60" s="795">
        <f>'Project Model'!I$48*I52</f>
        <v>0</v>
      </c>
      <c r="J60" s="795">
        <f>'Project Model'!J$48*J52</f>
        <v>83.22</v>
      </c>
      <c r="K60" s="795">
        <f>K13*365</f>
        <v>3650</v>
      </c>
      <c r="L60" s="795">
        <f>L26*365</f>
        <v>3650</v>
      </c>
      <c r="M60" s="795">
        <f>'Project Model'!M$48*M52</f>
        <v>0</v>
      </c>
      <c r="N60" s="796"/>
      <c r="O60" s="796"/>
      <c r="P60" s="796"/>
      <c r="Q60" s="796"/>
      <c r="R60" s="796"/>
      <c r="S60" s="796"/>
      <c r="T60" s="796"/>
      <c r="U60" s="796"/>
      <c r="V60" s="796"/>
      <c r="W60" s="796"/>
      <c r="X60" s="796"/>
      <c r="Y60" s="797">
        <f t="shared" ref="Y60:Y67" si="34">SUM(E60:X60)*Z60</f>
        <v>7383.2199999999993</v>
      </c>
      <c r="Z60" s="798">
        <v>1</v>
      </c>
      <c r="AA60" s="21">
        <v>1</v>
      </c>
      <c r="AB60" s="85"/>
      <c r="AC60" s="107">
        <v>60</v>
      </c>
      <c r="AD60" s="291">
        <f t="shared" ref="AD60:AD67" si="35">Y60*AC60</f>
        <v>442993.19999999995</v>
      </c>
    </row>
    <row r="61" spans="1:30" ht="15" customHeight="1" x14ac:dyDescent="0.25">
      <c r="A61" s="749"/>
      <c r="B61" s="750"/>
      <c r="C61" s="799" t="str">
        <f t="shared" si="33"/>
        <v>Biomass</v>
      </c>
      <c r="D61" s="20" t="s">
        <v>89</v>
      </c>
      <c r="E61" s="26">
        <f>'Project Model'!E$48*E53</f>
        <v>0</v>
      </c>
      <c r="F61" s="26">
        <f>'Project Model'!F$48*F53</f>
        <v>0</v>
      </c>
      <c r="G61" s="26">
        <f>'Project Model'!G$48*G53</f>
        <v>0</v>
      </c>
      <c r="H61" s="26">
        <f>'Project Model'!H$48*H53</f>
        <v>0</v>
      </c>
      <c r="I61" s="26">
        <f>'Project Model'!I$48*I53</f>
        <v>0</v>
      </c>
      <c r="J61" s="26">
        <f>'Project Model'!J$48*J53</f>
        <v>832.2</v>
      </c>
      <c r="K61" s="26">
        <f>'Project Model'!K$48*K53</f>
        <v>0</v>
      </c>
      <c r="L61" s="26">
        <f>'Project Model'!L$48*L53</f>
        <v>0</v>
      </c>
      <c r="M61" s="26">
        <f>'Project Model'!M$48*M53</f>
        <v>0</v>
      </c>
      <c r="N61" s="175"/>
      <c r="O61" s="175"/>
      <c r="P61" s="175"/>
      <c r="Q61" s="175"/>
      <c r="R61" s="175"/>
      <c r="S61" s="175"/>
      <c r="T61" s="175"/>
      <c r="U61" s="175"/>
      <c r="V61" s="175"/>
      <c r="W61" s="175"/>
      <c r="X61" s="175"/>
      <c r="Y61" s="564">
        <f t="shared" si="34"/>
        <v>832.2</v>
      </c>
      <c r="Z61" s="402">
        <v>1</v>
      </c>
      <c r="AA61" s="22"/>
      <c r="AB61" s="86"/>
      <c r="AC61" s="108">
        <v>50</v>
      </c>
      <c r="AD61" s="231">
        <f t="shared" si="35"/>
        <v>41610</v>
      </c>
    </row>
    <row r="62" spans="1:30" ht="15" customHeight="1" x14ac:dyDescent="0.25">
      <c r="A62" s="749"/>
      <c r="B62" s="750"/>
      <c r="C62" s="799" t="str">
        <f t="shared" si="33"/>
        <v>Water</v>
      </c>
      <c r="D62" s="20" t="s">
        <v>90</v>
      </c>
      <c r="E62" s="26">
        <f>'Project Model'!E$48*E54</f>
        <v>0</v>
      </c>
      <c r="F62" s="26">
        <f>'Project Model'!F$48*F54</f>
        <v>0</v>
      </c>
      <c r="G62" s="26">
        <f>'Project Model'!G$48*G54</f>
        <v>0</v>
      </c>
      <c r="H62" s="26">
        <f>'Project Model'!H$48*H54</f>
        <v>0</v>
      </c>
      <c r="I62" s="26">
        <f>'Project Model'!I$48*I54</f>
        <v>0</v>
      </c>
      <c r="J62" s="26">
        <f>'Project Model'!J$48*J54</f>
        <v>0</v>
      </c>
      <c r="K62" s="26"/>
      <c r="L62" s="26">
        <f>'Project Model'!L$48*L54</f>
        <v>0</v>
      </c>
      <c r="M62" s="26">
        <f>'Project Model'!M$48*M54</f>
        <v>0</v>
      </c>
      <c r="N62" s="175"/>
      <c r="O62" s="175"/>
      <c r="P62" s="175"/>
      <c r="Q62" s="175"/>
      <c r="R62" s="175"/>
      <c r="S62" s="175"/>
      <c r="T62" s="175"/>
      <c r="U62" s="175"/>
      <c r="V62" s="175"/>
      <c r="W62" s="175"/>
      <c r="X62" s="175"/>
      <c r="Y62" s="564">
        <f t="shared" si="34"/>
        <v>0</v>
      </c>
      <c r="Z62" s="402">
        <v>1</v>
      </c>
      <c r="AA62" s="22"/>
      <c r="AB62" s="87"/>
      <c r="AC62" s="108"/>
      <c r="AD62" s="231">
        <f t="shared" si="35"/>
        <v>0</v>
      </c>
    </row>
    <row r="63" spans="1:30" ht="15" customHeight="1" x14ac:dyDescent="0.25">
      <c r="A63" s="749"/>
      <c r="B63" s="750"/>
      <c r="C63" s="799" t="str">
        <f t="shared" si="33"/>
        <v>Gas</v>
      </c>
      <c r="D63" s="20" t="s">
        <v>91</v>
      </c>
      <c r="E63" s="26">
        <f>'Project Model'!E$48*E55</f>
        <v>0</v>
      </c>
      <c r="F63" s="26">
        <f>'Project Model'!F$48*F55</f>
        <v>0</v>
      </c>
      <c r="G63" s="26">
        <f>'Project Model'!G$48*G55</f>
        <v>0</v>
      </c>
      <c r="H63" s="26">
        <f>'Project Model'!H$48*H55</f>
        <v>0</v>
      </c>
      <c r="I63" s="26">
        <f>'Project Model'!I$48*I55</f>
        <v>0</v>
      </c>
      <c r="J63" s="26">
        <f>'Project Model'!J$48*J55</f>
        <v>0</v>
      </c>
      <c r="K63" s="26">
        <f>'Project Model'!K$48*K55</f>
        <v>0</v>
      </c>
      <c r="L63" s="26">
        <f>'Project Model'!L$48*L55</f>
        <v>0</v>
      </c>
      <c r="M63" s="26">
        <f>'Project Model'!M$48*M55</f>
        <v>0</v>
      </c>
      <c r="N63" s="175"/>
      <c r="O63" s="175"/>
      <c r="P63" s="175"/>
      <c r="Q63" s="175"/>
      <c r="R63" s="175"/>
      <c r="S63" s="175"/>
      <c r="T63" s="175"/>
      <c r="U63" s="175"/>
      <c r="V63" s="175"/>
      <c r="W63" s="175"/>
      <c r="X63" s="175"/>
      <c r="Y63" s="564">
        <f t="shared" si="34"/>
        <v>0</v>
      </c>
      <c r="Z63" s="402">
        <v>1</v>
      </c>
      <c r="AA63" s="22"/>
      <c r="AB63" s="87"/>
      <c r="AC63" s="108"/>
      <c r="AD63" s="231">
        <f t="shared" si="35"/>
        <v>0</v>
      </c>
    </row>
    <row r="64" spans="1:30" ht="15" customHeight="1" x14ac:dyDescent="0.25">
      <c r="A64" s="749"/>
      <c r="B64" s="750"/>
      <c r="C64" s="799" t="str">
        <f t="shared" si="33"/>
        <v>Diesel</v>
      </c>
      <c r="D64" s="20" t="s">
        <v>90</v>
      </c>
      <c r="E64" s="26">
        <f>'Project Model'!E$48*E56</f>
        <v>0</v>
      </c>
      <c r="F64" s="26">
        <f>'Project Model'!F$48*F56</f>
        <v>0</v>
      </c>
      <c r="G64" s="26">
        <f>'Project Model'!G$48*G56</f>
        <v>0</v>
      </c>
      <c r="H64" s="26">
        <f>'Project Model'!H$48*H56</f>
        <v>0</v>
      </c>
      <c r="I64" s="26">
        <f>'Project Model'!I$48*I56</f>
        <v>0</v>
      </c>
      <c r="J64" s="26">
        <f>'Project Model'!J$48*J56</f>
        <v>0</v>
      </c>
      <c r="K64" s="26">
        <f>'Project Model'!K$48*K56</f>
        <v>0</v>
      </c>
      <c r="L64" s="26">
        <f>'Project Model'!L$48*L56</f>
        <v>0</v>
      </c>
      <c r="M64" s="26">
        <f>'Project Model'!M$48*M56</f>
        <v>0</v>
      </c>
      <c r="N64" s="175"/>
      <c r="O64" s="175"/>
      <c r="P64" s="175"/>
      <c r="Q64" s="175"/>
      <c r="R64" s="175"/>
      <c r="S64" s="175"/>
      <c r="T64" s="175"/>
      <c r="U64" s="175"/>
      <c r="V64" s="175"/>
      <c r="W64" s="175"/>
      <c r="X64" s="175"/>
      <c r="Y64" s="564">
        <f t="shared" si="34"/>
        <v>0</v>
      </c>
      <c r="Z64" s="402">
        <v>1</v>
      </c>
      <c r="AA64" s="22"/>
      <c r="AB64" s="86"/>
      <c r="AC64" s="108"/>
      <c r="AD64" s="231">
        <f t="shared" si="35"/>
        <v>0</v>
      </c>
    </row>
    <row r="65" spans="1:30" ht="15" customHeight="1" x14ac:dyDescent="0.25">
      <c r="A65" s="749"/>
      <c r="B65" s="750"/>
      <c r="C65" s="799" t="str">
        <f t="shared" si="33"/>
        <v>Coal</v>
      </c>
      <c r="D65" s="20" t="s">
        <v>89</v>
      </c>
      <c r="E65" s="26">
        <f>'Project Model'!E$48*E57</f>
        <v>0</v>
      </c>
      <c r="F65" s="26">
        <f>'Project Model'!F$48*F57</f>
        <v>0</v>
      </c>
      <c r="G65" s="26">
        <f>'Project Model'!G$48*G57</f>
        <v>0</v>
      </c>
      <c r="H65" s="26">
        <f>'Project Model'!H$48*H57</f>
        <v>0</v>
      </c>
      <c r="I65" s="26">
        <f>'Project Model'!I$48*I57</f>
        <v>0</v>
      </c>
      <c r="J65" s="26">
        <f>'Project Model'!J$48*J57</f>
        <v>0</v>
      </c>
      <c r="K65" s="26">
        <f>'Project Model'!K$48*K57</f>
        <v>0</v>
      </c>
      <c r="L65" s="26">
        <f>'Project Model'!L$48*L57</f>
        <v>0</v>
      </c>
      <c r="M65" s="26">
        <f>'Project Model'!M$48*M57</f>
        <v>0</v>
      </c>
      <c r="N65" s="175"/>
      <c r="O65" s="175"/>
      <c r="P65" s="175"/>
      <c r="Q65" s="175"/>
      <c r="R65" s="175"/>
      <c r="S65" s="175"/>
      <c r="T65" s="175"/>
      <c r="U65" s="175"/>
      <c r="V65" s="175"/>
      <c r="W65" s="175"/>
      <c r="X65" s="175"/>
      <c r="Y65" s="564">
        <f t="shared" si="34"/>
        <v>0</v>
      </c>
      <c r="Z65" s="402">
        <v>1</v>
      </c>
      <c r="AA65" s="22"/>
      <c r="AB65" s="88"/>
      <c r="AC65" s="108"/>
      <c r="AD65" s="231">
        <f t="shared" si="35"/>
        <v>0</v>
      </c>
    </row>
    <row r="66" spans="1:30" ht="15" customHeight="1" x14ac:dyDescent="0.25">
      <c r="A66" s="749"/>
      <c r="B66" s="750"/>
      <c r="C66" s="758" t="s">
        <v>494</v>
      </c>
      <c r="D66" s="20" t="s">
        <v>92</v>
      </c>
      <c r="E66" s="27">
        <f>Assumptions!F22</f>
        <v>50000</v>
      </c>
      <c r="F66" s="27"/>
      <c r="G66" s="27">
        <f>Assumptions!F40</f>
        <v>10000</v>
      </c>
      <c r="H66" s="27"/>
      <c r="I66" s="27">
        <f>Assumptions!F66</f>
        <v>20000</v>
      </c>
      <c r="J66" s="27">
        <f>Assumptions!F91</f>
        <v>20000</v>
      </c>
      <c r="K66" s="27">
        <f>Assumptions!F82</f>
        <v>10000</v>
      </c>
      <c r="L66" s="27">
        <v>10000</v>
      </c>
      <c r="M66" s="27"/>
      <c r="N66" s="176"/>
      <c r="O66" s="176"/>
      <c r="P66" s="176"/>
      <c r="Q66" s="176"/>
      <c r="R66" s="176"/>
      <c r="S66" s="176"/>
      <c r="T66" s="176"/>
      <c r="U66" s="176"/>
      <c r="V66" s="176"/>
      <c r="W66" s="176"/>
      <c r="X66" s="176"/>
      <c r="Y66" s="564">
        <f t="shared" si="34"/>
        <v>120000</v>
      </c>
      <c r="Z66" s="402">
        <v>1</v>
      </c>
      <c r="AA66" s="22"/>
      <c r="AB66" s="88"/>
      <c r="AC66" s="108">
        <v>1</v>
      </c>
      <c r="AD66" s="231">
        <f t="shared" si="35"/>
        <v>120000</v>
      </c>
    </row>
    <row r="67" spans="1:30" ht="15" customHeight="1" thickBot="1" x14ac:dyDescent="0.3">
      <c r="A67" s="749"/>
      <c r="B67" s="750"/>
      <c r="C67" s="759" t="s">
        <v>495</v>
      </c>
      <c r="D67" s="791"/>
      <c r="E67" s="800"/>
      <c r="F67" s="800"/>
      <c r="G67" s="800"/>
      <c r="H67" s="800"/>
      <c r="I67" s="800"/>
      <c r="J67" s="800"/>
      <c r="K67" s="800"/>
      <c r="L67" s="800"/>
      <c r="M67" s="800"/>
      <c r="N67" s="801"/>
      <c r="O67" s="801"/>
      <c r="P67" s="801"/>
      <c r="Q67" s="801"/>
      <c r="R67" s="801"/>
      <c r="S67" s="801"/>
      <c r="T67" s="801"/>
      <c r="U67" s="801"/>
      <c r="V67" s="801"/>
      <c r="W67" s="801"/>
      <c r="X67" s="801"/>
      <c r="Y67" s="802">
        <f t="shared" si="34"/>
        <v>0</v>
      </c>
      <c r="Z67" s="559">
        <v>1</v>
      </c>
      <c r="AA67" s="22"/>
      <c r="AB67" s="78"/>
      <c r="AC67" s="160"/>
      <c r="AD67" s="231">
        <f t="shared" si="35"/>
        <v>0</v>
      </c>
    </row>
    <row r="68" spans="1:30" ht="16.5" thickBot="1" x14ac:dyDescent="0.3">
      <c r="A68" s="749"/>
      <c r="B68" s="412" t="s">
        <v>93</v>
      </c>
      <c r="D68" s="127"/>
      <c r="E68" s="754"/>
      <c r="F68" s="754"/>
      <c r="G68" s="754"/>
      <c r="H68" s="754"/>
      <c r="I68" s="754"/>
      <c r="J68" s="754"/>
      <c r="K68" s="754"/>
      <c r="L68" s="754"/>
      <c r="M68" s="754"/>
      <c r="N68" s="754"/>
      <c r="O68" s="754"/>
      <c r="P68" s="754"/>
      <c r="Q68" s="754"/>
      <c r="R68" s="754"/>
      <c r="S68" s="754"/>
      <c r="T68" s="754"/>
      <c r="U68" s="754"/>
      <c r="V68" s="754"/>
      <c r="W68" s="754"/>
      <c r="X68" s="754"/>
      <c r="Y68" s="755"/>
      <c r="Z68" s="808"/>
      <c r="AA68" s="737"/>
      <c r="AB68" s="746"/>
      <c r="AC68" s="747"/>
      <c r="AD68" s="739"/>
    </row>
    <row r="69" spans="1:30" ht="15" customHeight="1" thickBot="1" x14ac:dyDescent="0.3">
      <c r="A69" s="749"/>
      <c r="B69" s="750"/>
      <c r="C69" s="766" t="s">
        <v>94</v>
      </c>
      <c r="D69" s="803" t="s">
        <v>88</v>
      </c>
      <c r="E69" s="804">
        <f t="shared" ref="E69:M69" si="36">SUMPRODUCT(E$60:E$67,$AA$60:$AA$67,$Z$60:$Z$67)*E$3</f>
        <v>0</v>
      </c>
      <c r="F69" s="804">
        <f t="shared" si="36"/>
        <v>0</v>
      </c>
      <c r="G69" s="804">
        <f t="shared" si="36"/>
        <v>0</v>
      </c>
      <c r="H69" s="804">
        <f t="shared" si="36"/>
        <v>0</v>
      </c>
      <c r="I69" s="804">
        <f t="shared" si="36"/>
        <v>0</v>
      </c>
      <c r="J69" s="804">
        <f t="shared" si="36"/>
        <v>83.22</v>
      </c>
      <c r="K69" s="804">
        <f t="shared" si="36"/>
        <v>3650</v>
      </c>
      <c r="L69" s="804">
        <f t="shared" si="36"/>
        <v>3650</v>
      </c>
      <c r="M69" s="804">
        <f t="shared" si="36"/>
        <v>0</v>
      </c>
      <c r="N69" s="804">
        <f t="shared" ref="N69:W69" si="37">SUMPRODUCT(N$60:N$67,$AA$60:$AA$67,$Z$60:$Z$67)*N$3</f>
        <v>0</v>
      </c>
      <c r="O69" s="804">
        <f t="shared" si="37"/>
        <v>0</v>
      </c>
      <c r="P69" s="804">
        <f t="shared" si="37"/>
        <v>0</v>
      </c>
      <c r="Q69" s="804">
        <f t="shared" si="37"/>
        <v>0</v>
      </c>
      <c r="R69" s="804">
        <f t="shared" si="37"/>
        <v>0</v>
      </c>
      <c r="S69" s="804">
        <f t="shared" si="37"/>
        <v>0</v>
      </c>
      <c r="T69" s="804">
        <f t="shared" si="37"/>
        <v>0</v>
      </c>
      <c r="U69" s="804">
        <f t="shared" si="37"/>
        <v>0</v>
      </c>
      <c r="V69" s="804">
        <f t="shared" si="37"/>
        <v>0</v>
      </c>
      <c r="W69" s="804">
        <f t="shared" si="37"/>
        <v>0</v>
      </c>
      <c r="X69" s="805">
        <f>SUMPRODUCT(X$60:X$67,$AA$60:$AA$67,$Z$60:$Z$67)*X$3</f>
        <v>0</v>
      </c>
      <c r="Y69" s="771">
        <f>SUM(E69:X69)</f>
        <v>7383.2199999999993</v>
      </c>
      <c r="Z69" s="177"/>
      <c r="AA69" s="23"/>
      <c r="AB69" s="179"/>
      <c r="AC69" s="100"/>
    </row>
    <row r="70" spans="1:30" ht="15" customHeight="1" thickBot="1" x14ac:dyDescent="0.3">
      <c r="A70" s="749"/>
      <c r="B70" s="750"/>
      <c r="C70" s="806" t="s">
        <v>95</v>
      </c>
      <c r="D70" s="72" t="s">
        <v>96</v>
      </c>
      <c r="E70" s="29">
        <f t="shared" ref="E70:M70" si="38">SUMPRODUCT(E$60:E$67,$AB$60:$AB$67,$Z$60:$Z$67)*E$3</f>
        <v>0</v>
      </c>
      <c r="F70" s="29">
        <f t="shared" si="38"/>
        <v>0</v>
      </c>
      <c r="G70" s="29">
        <f t="shared" si="38"/>
        <v>0</v>
      </c>
      <c r="H70" s="29">
        <f t="shared" si="38"/>
        <v>0</v>
      </c>
      <c r="I70" s="29">
        <f t="shared" si="38"/>
        <v>0</v>
      </c>
      <c r="J70" s="29">
        <f t="shared" si="38"/>
        <v>0</v>
      </c>
      <c r="K70" s="29">
        <f t="shared" si="38"/>
        <v>0</v>
      </c>
      <c r="L70" s="29">
        <f t="shared" si="38"/>
        <v>0</v>
      </c>
      <c r="M70" s="29">
        <f t="shared" si="38"/>
        <v>0</v>
      </c>
      <c r="N70" s="29">
        <f t="shared" ref="N70:W70" si="39">SUMPRODUCT(N$60:N$67,$AB$60:$AB$67,$Z$60:$Z$67)*N$3</f>
        <v>0</v>
      </c>
      <c r="O70" s="29">
        <f t="shared" si="39"/>
        <v>0</v>
      </c>
      <c r="P70" s="29">
        <f t="shared" si="39"/>
        <v>0</v>
      </c>
      <c r="Q70" s="29">
        <f t="shared" si="39"/>
        <v>0</v>
      </c>
      <c r="R70" s="29">
        <f t="shared" si="39"/>
        <v>0</v>
      </c>
      <c r="S70" s="29">
        <f t="shared" si="39"/>
        <v>0</v>
      </c>
      <c r="T70" s="29">
        <f t="shared" si="39"/>
        <v>0</v>
      </c>
      <c r="U70" s="29">
        <f t="shared" si="39"/>
        <v>0</v>
      </c>
      <c r="V70" s="29">
        <f t="shared" si="39"/>
        <v>0</v>
      </c>
      <c r="W70" s="29">
        <f t="shared" si="39"/>
        <v>0</v>
      </c>
      <c r="X70" s="561">
        <f>SUMPRODUCT(X$60:X$67,$AB$60:$AB$67,$Z$60:$Z$67)*X$3</f>
        <v>0</v>
      </c>
      <c r="Y70" s="565">
        <f>SUM(E70:X70)</f>
        <v>0</v>
      </c>
      <c r="Z70" s="167"/>
      <c r="AA70" s="150"/>
      <c r="AB70" s="151"/>
      <c r="AC70" s="100"/>
    </row>
    <row r="71" spans="1:30" ht="15" customHeight="1" thickBot="1" x14ac:dyDescent="0.3">
      <c r="A71" s="749"/>
      <c r="B71" s="750"/>
      <c r="C71" s="807" t="s">
        <v>97</v>
      </c>
      <c r="D71" s="109" t="s">
        <v>98</v>
      </c>
      <c r="E71" s="110">
        <f t="shared" ref="E71:M71" si="40">SUMPRODUCT(E$60:E$67,$AC$60:$AC$67,$Z$60:$Z$67)*E$3</f>
        <v>50000</v>
      </c>
      <c r="F71" s="110">
        <f t="shared" si="40"/>
        <v>0</v>
      </c>
      <c r="G71" s="110">
        <f t="shared" si="40"/>
        <v>10000</v>
      </c>
      <c r="H71" s="110">
        <f t="shared" si="40"/>
        <v>0</v>
      </c>
      <c r="I71" s="110">
        <f t="shared" si="40"/>
        <v>20000</v>
      </c>
      <c r="J71" s="110">
        <f t="shared" si="40"/>
        <v>66603.199999999997</v>
      </c>
      <c r="K71" s="110">
        <f t="shared" si="40"/>
        <v>229000</v>
      </c>
      <c r="L71" s="110">
        <f t="shared" si="40"/>
        <v>229000</v>
      </c>
      <c r="M71" s="110">
        <f t="shared" si="40"/>
        <v>0</v>
      </c>
      <c r="N71" s="110">
        <f t="shared" ref="N71:W71" si="41">SUMPRODUCT(N$60:N$67,$AC$60:$AC$67,$Z$60:$Z$67)*N$3</f>
        <v>0</v>
      </c>
      <c r="O71" s="110">
        <f t="shared" si="41"/>
        <v>0</v>
      </c>
      <c r="P71" s="110">
        <f t="shared" si="41"/>
        <v>0</v>
      </c>
      <c r="Q71" s="110">
        <f t="shared" si="41"/>
        <v>0</v>
      </c>
      <c r="R71" s="110">
        <f t="shared" si="41"/>
        <v>0</v>
      </c>
      <c r="S71" s="110">
        <f t="shared" si="41"/>
        <v>0</v>
      </c>
      <c r="T71" s="110">
        <f t="shared" si="41"/>
        <v>0</v>
      </c>
      <c r="U71" s="110">
        <f t="shared" si="41"/>
        <v>0</v>
      </c>
      <c r="V71" s="110">
        <f t="shared" si="41"/>
        <v>0</v>
      </c>
      <c r="W71" s="110">
        <f t="shared" si="41"/>
        <v>0</v>
      </c>
      <c r="X71" s="438">
        <f>SUMPRODUCT(X$60:X$67,$AC$60:$AC$67,$Z$60:$Z$67)*X$3</f>
        <v>0</v>
      </c>
      <c r="Y71" s="566">
        <f>SUM(E71:X71)</f>
        <v>604603.19999999995</v>
      </c>
      <c r="Z71" s="168"/>
      <c r="AA71" s="106"/>
      <c r="AB71" s="106"/>
      <c r="AC71" s="101"/>
    </row>
    <row r="72" spans="1:30" ht="15" customHeight="1" x14ac:dyDescent="0.25">
      <c r="B72" s="3"/>
      <c r="C72" s="3"/>
      <c r="D72" s="18"/>
      <c r="X72"/>
      <c r="Z72" s="18"/>
    </row>
    <row r="73" spans="1:30" ht="21" x14ac:dyDescent="0.25">
      <c r="A73" s="740" t="s">
        <v>478</v>
      </c>
      <c r="B73" s="134"/>
      <c r="C73" s="3"/>
      <c r="D73" s="18"/>
      <c r="X73"/>
      <c r="Z73" s="18"/>
    </row>
    <row r="74" spans="1:30" ht="16.5" thickBot="1" x14ac:dyDescent="0.3">
      <c r="A74" s="142"/>
      <c r="B74" s="412" t="s">
        <v>99</v>
      </c>
      <c r="X74"/>
    </row>
    <row r="75" spans="1:30" ht="15" customHeight="1" x14ac:dyDescent="0.25">
      <c r="A75" s="749"/>
      <c r="B75" s="750"/>
      <c r="C75" s="756" t="s">
        <v>100</v>
      </c>
      <c r="D75" s="266" t="s">
        <v>33</v>
      </c>
      <c r="E75" s="288"/>
      <c r="F75" s="135"/>
      <c r="G75" s="135">
        <f>G10</f>
        <v>3</v>
      </c>
      <c r="H75" s="135">
        <f>H11</f>
        <v>3</v>
      </c>
      <c r="I75" s="135"/>
      <c r="J75" s="135"/>
      <c r="K75" s="135"/>
      <c r="L75" s="135"/>
      <c r="M75" s="135"/>
      <c r="N75" s="560"/>
      <c r="O75" s="560"/>
      <c r="P75" s="560"/>
      <c r="Q75" s="560"/>
      <c r="R75" s="560"/>
      <c r="S75" s="560"/>
      <c r="T75" s="560"/>
      <c r="U75" s="560"/>
      <c r="V75" s="560"/>
      <c r="W75" s="560"/>
      <c r="X75" s="560"/>
      <c r="Y75" s="562">
        <f t="shared" ref="Y75:Y83" si="42">SUM(E75:X75)</f>
        <v>6</v>
      </c>
    </row>
    <row r="76" spans="1:30" ht="15" customHeight="1" x14ac:dyDescent="0.25">
      <c r="A76" s="749"/>
      <c r="B76" s="750"/>
      <c r="C76" s="809" t="s">
        <v>101</v>
      </c>
      <c r="D76" s="20" t="s">
        <v>33</v>
      </c>
      <c r="E76" s="289"/>
      <c r="F76" s="6"/>
      <c r="G76" s="6"/>
      <c r="H76" s="6"/>
      <c r="I76" s="6">
        <f>I12</f>
        <v>2.5</v>
      </c>
      <c r="J76" s="6"/>
      <c r="K76" s="6"/>
      <c r="L76" s="6"/>
      <c r="M76" s="6"/>
      <c r="N76" s="439"/>
      <c r="O76" s="439"/>
      <c r="P76" s="439"/>
      <c r="Q76" s="439"/>
      <c r="R76" s="439"/>
      <c r="S76" s="439"/>
      <c r="T76" s="439"/>
      <c r="U76" s="439"/>
      <c r="V76" s="439"/>
      <c r="W76" s="439"/>
      <c r="X76" s="439"/>
      <c r="Y76" s="563">
        <f t="shared" si="42"/>
        <v>2.5</v>
      </c>
    </row>
    <row r="77" spans="1:30" ht="15" customHeight="1" x14ac:dyDescent="0.25">
      <c r="A77" s="749"/>
      <c r="B77" s="750"/>
      <c r="C77" s="809" t="s">
        <v>102</v>
      </c>
      <c r="D77" s="20" t="s">
        <v>33</v>
      </c>
      <c r="E77" s="289"/>
      <c r="F77" s="6"/>
      <c r="G77" s="6"/>
      <c r="H77" s="6"/>
      <c r="I77" s="6"/>
      <c r="J77" s="6"/>
      <c r="K77" s="6"/>
      <c r="L77" s="6"/>
      <c r="M77" s="6"/>
      <c r="N77" s="439"/>
      <c r="O77" s="439"/>
      <c r="P77" s="439"/>
      <c r="Q77" s="439"/>
      <c r="R77" s="439"/>
      <c r="S77" s="439"/>
      <c r="T77" s="439"/>
      <c r="U77" s="439"/>
      <c r="V77" s="439"/>
      <c r="W77" s="439"/>
      <c r="X77" s="439"/>
      <c r="Y77" s="563">
        <f t="shared" si="42"/>
        <v>0</v>
      </c>
    </row>
    <row r="78" spans="1:30" ht="15" customHeight="1" x14ac:dyDescent="0.25">
      <c r="A78" s="749"/>
      <c r="B78" s="750"/>
      <c r="C78" s="758" t="s">
        <v>103</v>
      </c>
      <c r="D78" s="20" t="s">
        <v>79</v>
      </c>
      <c r="E78" s="289"/>
      <c r="F78" s="6"/>
      <c r="G78" s="6"/>
      <c r="H78" s="6"/>
      <c r="I78" s="6"/>
      <c r="J78" s="6"/>
      <c r="K78" s="6"/>
      <c r="L78" s="6"/>
      <c r="M78" s="6"/>
      <c r="N78" s="439"/>
      <c r="O78" s="439"/>
      <c r="P78" s="439"/>
      <c r="Q78" s="439"/>
      <c r="R78" s="439"/>
      <c r="S78" s="439"/>
      <c r="T78" s="439"/>
      <c r="U78" s="439"/>
      <c r="V78" s="439"/>
      <c r="W78" s="439"/>
      <c r="X78" s="439"/>
      <c r="Y78" s="563">
        <f t="shared" si="42"/>
        <v>0</v>
      </c>
    </row>
    <row r="79" spans="1:30" ht="15" customHeight="1" x14ac:dyDescent="0.25">
      <c r="A79" s="749"/>
      <c r="B79" s="750"/>
      <c r="C79" s="758" t="s">
        <v>104</v>
      </c>
      <c r="D79" s="20" t="s">
        <v>81</v>
      </c>
      <c r="E79" s="289"/>
      <c r="F79" s="6"/>
      <c r="G79" s="6"/>
      <c r="H79" s="6"/>
      <c r="I79" s="6"/>
      <c r="J79" s="6"/>
      <c r="K79" s="6"/>
      <c r="L79" s="6"/>
      <c r="M79" s="6"/>
      <c r="N79" s="439"/>
      <c r="O79" s="439"/>
      <c r="P79" s="439"/>
      <c r="Q79" s="439"/>
      <c r="R79" s="439"/>
      <c r="S79" s="439"/>
      <c r="T79" s="439"/>
      <c r="U79" s="439"/>
      <c r="V79" s="439"/>
      <c r="W79" s="439"/>
      <c r="X79" s="439"/>
      <c r="Y79" s="563">
        <f t="shared" si="42"/>
        <v>0</v>
      </c>
    </row>
    <row r="80" spans="1:30" ht="15" customHeight="1" x14ac:dyDescent="0.25">
      <c r="A80" s="749"/>
      <c r="B80" s="750"/>
      <c r="C80" s="758" t="s">
        <v>105</v>
      </c>
      <c r="D80" s="20" t="s">
        <v>83</v>
      </c>
      <c r="E80" s="289"/>
      <c r="F80" s="6"/>
      <c r="G80" s="6"/>
      <c r="H80" s="6"/>
      <c r="I80" s="6"/>
      <c r="J80" s="6">
        <f>J15</f>
        <v>3</v>
      </c>
      <c r="K80" s="6"/>
      <c r="L80" s="6"/>
      <c r="M80" s="6"/>
      <c r="N80" s="439"/>
      <c r="O80" s="439"/>
      <c r="P80" s="439"/>
      <c r="Q80" s="439"/>
      <c r="R80" s="439"/>
      <c r="S80" s="439"/>
      <c r="T80" s="439"/>
      <c r="U80" s="439"/>
      <c r="V80" s="439"/>
      <c r="W80" s="439"/>
      <c r="X80" s="439"/>
      <c r="Y80" s="563">
        <f t="shared" si="42"/>
        <v>3</v>
      </c>
    </row>
    <row r="81" spans="1:30" ht="15" customHeight="1" x14ac:dyDescent="0.25">
      <c r="A81" s="749"/>
      <c r="B81" s="750"/>
      <c r="C81" s="758" t="s">
        <v>106</v>
      </c>
      <c r="D81" s="20" t="s">
        <v>81</v>
      </c>
      <c r="E81" s="289"/>
      <c r="F81" s="6"/>
      <c r="G81" s="6"/>
      <c r="H81" s="6"/>
      <c r="I81" s="6"/>
      <c r="J81" s="6"/>
      <c r="K81" s="6"/>
      <c r="L81" s="6"/>
      <c r="M81" s="6"/>
      <c r="N81" s="439"/>
      <c r="O81" s="439"/>
      <c r="P81" s="439"/>
      <c r="Q81" s="439"/>
      <c r="R81" s="439"/>
      <c r="S81" s="439"/>
      <c r="T81" s="439"/>
      <c r="U81" s="439"/>
      <c r="V81" s="439"/>
      <c r="W81" s="439"/>
      <c r="X81" s="439"/>
      <c r="Y81" s="563">
        <f t="shared" si="42"/>
        <v>0</v>
      </c>
    </row>
    <row r="82" spans="1:30" ht="15" customHeight="1" x14ac:dyDescent="0.25">
      <c r="A82" s="749"/>
      <c r="B82" s="750"/>
      <c r="C82" s="758" t="s">
        <v>107</v>
      </c>
      <c r="D82" s="20" t="s">
        <v>79</v>
      </c>
      <c r="E82" s="289"/>
      <c r="F82" s="6"/>
      <c r="G82" s="6"/>
      <c r="H82" s="6"/>
      <c r="I82" s="6"/>
      <c r="J82" s="6"/>
      <c r="K82" s="6"/>
      <c r="L82" s="6"/>
      <c r="M82" s="6"/>
      <c r="N82" s="439"/>
      <c r="O82" s="439"/>
      <c r="P82" s="439"/>
      <c r="Q82" s="439"/>
      <c r="R82" s="439"/>
      <c r="S82" s="439"/>
      <c r="T82" s="439"/>
      <c r="U82" s="439"/>
      <c r="V82" s="439"/>
      <c r="W82" s="439"/>
      <c r="X82" s="439"/>
      <c r="Y82" s="563">
        <f t="shared" si="42"/>
        <v>0</v>
      </c>
    </row>
    <row r="83" spans="1:30" ht="15" customHeight="1" thickBot="1" x14ac:dyDescent="0.3">
      <c r="A83" s="749"/>
      <c r="B83" s="750"/>
      <c r="C83" s="759" t="s">
        <v>493</v>
      </c>
      <c r="D83" s="791" t="s">
        <v>86</v>
      </c>
      <c r="E83" s="290"/>
      <c r="F83" s="284"/>
      <c r="G83" s="284"/>
      <c r="H83" s="284"/>
      <c r="I83" s="284"/>
      <c r="J83" s="284"/>
      <c r="K83" s="284"/>
      <c r="L83" s="284"/>
      <c r="M83" s="284"/>
      <c r="N83" s="792"/>
      <c r="O83" s="792"/>
      <c r="P83" s="792"/>
      <c r="Q83" s="792"/>
      <c r="R83" s="792"/>
      <c r="S83" s="792"/>
      <c r="T83" s="792"/>
      <c r="U83" s="792"/>
      <c r="V83" s="792"/>
      <c r="W83" s="792"/>
      <c r="X83" s="792"/>
      <c r="Y83" s="793">
        <f t="shared" si="42"/>
        <v>0</v>
      </c>
    </row>
    <row r="84" spans="1:30" ht="16.5" thickBot="1" x14ac:dyDescent="0.3">
      <c r="A84" s="749"/>
      <c r="B84" s="412" t="s">
        <v>87</v>
      </c>
      <c r="D84" s="127"/>
      <c r="X84"/>
      <c r="Y84" s="753"/>
      <c r="Z84" s="815" t="s">
        <v>23</v>
      </c>
      <c r="AA84" s="271" t="s">
        <v>24</v>
      </c>
      <c r="AB84" s="272" t="s">
        <v>25</v>
      </c>
      <c r="AC84" s="273" t="s">
        <v>26</v>
      </c>
      <c r="AD84" s="239" t="s">
        <v>27</v>
      </c>
    </row>
    <row r="85" spans="1:30" ht="15" customHeight="1" x14ac:dyDescent="0.25">
      <c r="A85" s="749"/>
      <c r="B85" s="750"/>
      <c r="C85" s="794" t="str">
        <f t="shared" ref="C85:C92" si="43">C75</f>
        <v>Solar electricity exported</v>
      </c>
      <c r="D85" s="266" t="s">
        <v>88</v>
      </c>
      <c r="E85" s="810">
        <f>'Project Model'!E$48*E75</f>
        <v>0</v>
      </c>
      <c r="F85" s="810">
        <f>'Project Model'!F$48*F75</f>
        <v>0</v>
      </c>
      <c r="G85" s="810">
        <f>'Project Model'!G$48*G75</f>
        <v>6570</v>
      </c>
      <c r="H85" s="810">
        <f>'Project Model'!H$48*H75</f>
        <v>4993.2000000000007</v>
      </c>
      <c r="I85" s="810">
        <f>'Project Model'!I$48*I75</f>
        <v>0</v>
      </c>
      <c r="J85" s="810">
        <f>'Project Model'!J$48*J75</f>
        <v>0</v>
      </c>
      <c r="K85" s="810">
        <f>'Project Model'!K$48*K75</f>
        <v>0</v>
      </c>
      <c r="L85" s="810">
        <f>'Project Model'!L$48*L75</f>
        <v>0</v>
      </c>
      <c r="M85" s="810">
        <f>'Project Model'!M$48*M75</f>
        <v>0</v>
      </c>
      <c r="N85" s="810">
        <f>'Project Model'!N$48*N75</f>
        <v>0</v>
      </c>
      <c r="O85" s="810">
        <f>'Project Model'!O$48*O75</f>
        <v>0</v>
      </c>
      <c r="P85" s="810">
        <f>'Project Model'!P$48*P75</f>
        <v>0</v>
      </c>
      <c r="Q85" s="810">
        <f>'Project Model'!Q$48*Q75</f>
        <v>0</v>
      </c>
      <c r="R85" s="810">
        <f>'Project Model'!R$48*R75</f>
        <v>0</v>
      </c>
      <c r="S85" s="810">
        <f>'Project Model'!S$48*S75</f>
        <v>0</v>
      </c>
      <c r="T85" s="810">
        <f>'Project Model'!T$48*T75</f>
        <v>0</v>
      </c>
      <c r="U85" s="810">
        <f>'Project Model'!U$48*U75</f>
        <v>0</v>
      </c>
      <c r="V85" s="810">
        <f>'Project Model'!V$48*V75</f>
        <v>0</v>
      </c>
      <c r="W85" s="810">
        <f>'Project Model'!W$48*W75</f>
        <v>0</v>
      </c>
      <c r="X85" s="810">
        <f>'Project Model'!X$48*X75</f>
        <v>0</v>
      </c>
      <c r="Y85" s="811">
        <f t="shared" ref="Y85:Y94" si="44">SUM(E85:X85)*Z85</f>
        <v>11563.2</v>
      </c>
      <c r="Z85" s="798">
        <v>1</v>
      </c>
      <c r="AA85" s="21">
        <v>1</v>
      </c>
      <c r="AB85" s="138">
        <f>Assumptions!$F$15</f>
        <v>0.49</v>
      </c>
      <c r="AC85" s="111">
        <f>Assumptions!F56</f>
        <v>70</v>
      </c>
      <c r="AD85" s="291">
        <f t="shared" ref="AD85:AD96" si="45">Y85*AC85</f>
        <v>809424</v>
      </c>
    </row>
    <row r="86" spans="1:30" ht="15" customHeight="1" x14ac:dyDescent="0.25">
      <c r="A86" s="749"/>
      <c r="B86" s="750"/>
      <c r="C86" s="812" t="str">
        <f t="shared" si="43"/>
        <v>Wind electricity exported</v>
      </c>
      <c r="D86" s="267" t="s">
        <v>88</v>
      </c>
      <c r="E86" s="159">
        <f>'Project Model'!E$48*E76</f>
        <v>0</v>
      </c>
      <c r="F86" s="159">
        <f>'Project Model'!F$48*F76</f>
        <v>0</v>
      </c>
      <c r="G86" s="159">
        <f>'Project Model'!G$48*G76</f>
        <v>0</v>
      </c>
      <c r="H86" s="159">
        <f>'Project Model'!H$48*H76</f>
        <v>0</v>
      </c>
      <c r="I86" s="159">
        <f>'Project Model'!I$48*I76</f>
        <v>7665</v>
      </c>
      <c r="J86" s="159">
        <f>'Project Model'!J$48*J76</f>
        <v>0</v>
      </c>
      <c r="K86" s="159">
        <f>'Project Model'!K$48*K76</f>
        <v>0</v>
      </c>
      <c r="L86" s="159">
        <f>'Project Model'!L$48*L76</f>
        <v>0</v>
      </c>
      <c r="M86" s="159">
        <f>'Project Model'!M$48*M76</f>
        <v>0</v>
      </c>
      <c r="N86" s="159">
        <f>'Project Model'!N$48*N76</f>
        <v>0</v>
      </c>
      <c r="O86" s="159">
        <f>'Project Model'!O$48*O76</f>
        <v>0</v>
      </c>
      <c r="P86" s="159">
        <f>'Project Model'!P$48*P76</f>
        <v>0</v>
      </c>
      <c r="Q86" s="159">
        <f>'Project Model'!Q$48*Q76</f>
        <v>0</v>
      </c>
      <c r="R86" s="159">
        <f>'Project Model'!R$48*R76</f>
        <v>0</v>
      </c>
      <c r="S86" s="159">
        <f>'Project Model'!S$48*S76</f>
        <v>0</v>
      </c>
      <c r="T86" s="159">
        <f>'Project Model'!T$48*T76</f>
        <v>0</v>
      </c>
      <c r="U86" s="159">
        <f>'Project Model'!U$48*U76</f>
        <v>0</v>
      </c>
      <c r="V86" s="159">
        <f>'Project Model'!V$48*V76</f>
        <v>0</v>
      </c>
      <c r="W86" s="159">
        <f>'Project Model'!W$48*W76</f>
        <v>0</v>
      </c>
      <c r="X86" s="159">
        <f>'Project Model'!X$48*X76</f>
        <v>0</v>
      </c>
      <c r="Y86" s="571">
        <f t="shared" si="44"/>
        <v>7665</v>
      </c>
      <c r="Z86" s="402">
        <v>1</v>
      </c>
      <c r="AA86" s="22">
        <v>1</v>
      </c>
      <c r="AB86" s="138">
        <f>Assumptions!$F$15</f>
        <v>0.49</v>
      </c>
      <c r="AC86" s="112">
        <f>Assumptions!F65</f>
        <v>80</v>
      </c>
      <c r="AD86" s="231">
        <f t="shared" si="45"/>
        <v>613200</v>
      </c>
    </row>
    <row r="87" spans="1:30" ht="15" customHeight="1" x14ac:dyDescent="0.25">
      <c r="A87" s="749"/>
      <c r="B87" s="750"/>
      <c r="C87" s="812" t="str">
        <f t="shared" si="43"/>
        <v>Battery electricity exported</v>
      </c>
      <c r="D87" s="267" t="s">
        <v>88</v>
      </c>
      <c r="E87" s="159">
        <f>'Project Model'!E$48*E77</f>
        <v>0</v>
      </c>
      <c r="F87" s="159">
        <f>'Project Model'!F$48*F77</f>
        <v>0</v>
      </c>
      <c r="G87" s="159">
        <f>'Project Model'!G$48*G77</f>
        <v>0</v>
      </c>
      <c r="H87" s="159">
        <f>'Project Model'!H$48*H77</f>
        <v>0</v>
      </c>
      <c r="I87" s="159">
        <f>'Project Model'!I$48*I77</f>
        <v>0</v>
      </c>
      <c r="J87" s="159">
        <f>'Project Model'!J$48*J77</f>
        <v>0</v>
      </c>
      <c r="K87" s="159">
        <f>K60*Assumptions!$F$70*Assumptions!$F$73</f>
        <v>3285</v>
      </c>
      <c r="L87" s="159">
        <f>L60*Assumptions!$F$70*Assumptions!$F$74</f>
        <v>0</v>
      </c>
      <c r="M87" s="159">
        <f>'Project Model'!M$48*M77</f>
        <v>0</v>
      </c>
      <c r="N87" s="159">
        <f>'Project Model'!N$48*N77</f>
        <v>0</v>
      </c>
      <c r="O87" s="159">
        <f>'Project Model'!O$48*O77</f>
        <v>0</v>
      </c>
      <c r="P87" s="159">
        <f>'Project Model'!P$48*P77</f>
        <v>0</v>
      </c>
      <c r="Q87" s="159">
        <f>'Project Model'!Q$48*Q77</f>
        <v>0</v>
      </c>
      <c r="R87" s="159">
        <f>'Project Model'!R$48*R77</f>
        <v>0</v>
      </c>
      <c r="S87" s="159">
        <f>'Project Model'!S$48*S77</f>
        <v>0</v>
      </c>
      <c r="T87" s="159">
        <f>'Project Model'!T$48*T77</f>
        <v>0</v>
      </c>
      <c r="U87" s="159">
        <f>'Project Model'!U$48*U77</f>
        <v>0</v>
      </c>
      <c r="V87" s="159">
        <f>'Project Model'!V$48*V77</f>
        <v>0</v>
      </c>
      <c r="W87" s="159">
        <f>'Project Model'!W$48*W77</f>
        <v>0</v>
      </c>
      <c r="X87" s="159">
        <f>'Project Model'!X$48*X77</f>
        <v>0</v>
      </c>
      <c r="Y87" s="571">
        <f t="shared" si="44"/>
        <v>3285</v>
      </c>
      <c r="Z87" s="402">
        <v>1</v>
      </c>
      <c r="AA87" s="22"/>
      <c r="AB87" s="138">
        <f>Assumptions!$F$15</f>
        <v>0.49</v>
      </c>
      <c r="AC87" s="112">
        <f>Assumptions!F81</f>
        <v>100</v>
      </c>
      <c r="AD87" s="231">
        <f t="shared" si="45"/>
        <v>328500</v>
      </c>
    </row>
    <row r="88" spans="1:30" ht="15" customHeight="1" x14ac:dyDescent="0.25">
      <c r="A88" s="749"/>
      <c r="B88" s="750"/>
      <c r="C88" s="812" t="str">
        <f t="shared" si="43"/>
        <v>Hydrogen produced</v>
      </c>
      <c r="D88" s="267" t="s">
        <v>89</v>
      </c>
      <c r="E88" s="159">
        <f>'Project Model'!E$48*E78</f>
        <v>0</v>
      </c>
      <c r="F88" s="159">
        <f>'Project Model'!F$48*F78</f>
        <v>0</v>
      </c>
      <c r="G88" s="159">
        <f>'Project Model'!G$48*G78</f>
        <v>0</v>
      </c>
      <c r="H88" s="159">
        <f>'Project Model'!H$48*H78</f>
        <v>0</v>
      </c>
      <c r="I88" s="159">
        <f>'Project Model'!I$48*I78</f>
        <v>0</v>
      </c>
      <c r="J88" s="159">
        <f>'Project Model'!J$48*J78</f>
        <v>0</v>
      </c>
      <c r="K88" s="159">
        <f>'Project Model'!K$48*K78</f>
        <v>0</v>
      </c>
      <c r="L88" s="159">
        <f>'Project Model'!L$48*L78</f>
        <v>0</v>
      </c>
      <c r="M88" s="159">
        <f>'Project Model'!M$48*M78</f>
        <v>0</v>
      </c>
      <c r="N88" s="159">
        <f>'Project Model'!N$48*N78</f>
        <v>0</v>
      </c>
      <c r="O88" s="159">
        <f>'Project Model'!O$48*O78</f>
        <v>0</v>
      </c>
      <c r="P88" s="159">
        <f>'Project Model'!P$48*P78</f>
        <v>0</v>
      </c>
      <c r="Q88" s="159">
        <f>'Project Model'!Q$48*Q78</f>
        <v>0</v>
      </c>
      <c r="R88" s="159">
        <f>'Project Model'!R$48*R78</f>
        <v>0</v>
      </c>
      <c r="S88" s="159">
        <f>'Project Model'!S$48*S78</f>
        <v>0</v>
      </c>
      <c r="T88" s="159">
        <f>'Project Model'!T$48*T78</f>
        <v>0</v>
      </c>
      <c r="U88" s="159">
        <f>'Project Model'!U$48*U78</f>
        <v>0</v>
      </c>
      <c r="V88" s="159">
        <f>'Project Model'!V$48*V78</f>
        <v>0</v>
      </c>
      <c r="W88" s="159">
        <f>'Project Model'!W$48*W78</f>
        <v>0</v>
      </c>
      <c r="X88" s="159">
        <f>'Project Model'!X$48*X78</f>
        <v>0</v>
      </c>
      <c r="Y88" s="571">
        <f t="shared" si="44"/>
        <v>0</v>
      </c>
      <c r="Z88" s="402">
        <v>1</v>
      </c>
      <c r="AA88" s="22"/>
      <c r="AB88" s="77"/>
      <c r="AC88" s="112"/>
      <c r="AD88" s="231">
        <f t="shared" si="45"/>
        <v>0</v>
      </c>
    </row>
    <row r="89" spans="1:30" ht="15" customHeight="1" x14ac:dyDescent="0.25">
      <c r="A89" s="749"/>
      <c r="B89" s="750"/>
      <c r="C89" s="812" t="str">
        <f t="shared" si="43"/>
        <v>Water saved or produced</v>
      </c>
      <c r="D89" s="267" t="s">
        <v>90</v>
      </c>
      <c r="E89" s="159">
        <f>'Project Model'!E$48*E79</f>
        <v>0</v>
      </c>
      <c r="F89" s="159">
        <f>'Project Model'!F$48*F79</f>
        <v>0</v>
      </c>
      <c r="G89" s="159">
        <f>'Project Model'!G$48*G79</f>
        <v>0</v>
      </c>
      <c r="H89" s="159">
        <f>'Project Model'!H$48*H79</f>
        <v>0</v>
      </c>
      <c r="I89" s="159">
        <f>'Project Model'!I$48*I79</f>
        <v>0</v>
      </c>
      <c r="J89" s="159">
        <f>'Project Model'!J$48*J79</f>
        <v>0</v>
      </c>
      <c r="K89" s="159">
        <f>'Project Model'!K$48*K79</f>
        <v>0</v>
      </c>
      <c r="L89" s="159">
        <f>'Project Model'!L$48*L79</f>
        <v>0</v>
      </c>
      <c r="M89" s="159">
        <f>'Project Model'!M$48*M79</f>
        <v>0</v>
      </c>
      <c r="N89" s="159">
        <f>'Project Model'!N$48*N79</f>
        <v>0</v>
      </c>
      <c r="O89" s="159">
        <f>'Project Model'!O$48*O79</f>
        <v>0</v>
      </c>
      <c r="P89" s="159">
        <f>'Project Model'!P$48*P79</f>
        <v>0</v>
      </c>
      <c r="Q89" s="159">
        <f>'Project Model'!Q$48*Q79</f>
        <v>0</v>
      </c>
      <c r="R89" s="159">
        <f>'Project Model'!R$48*R79</f>
        <v>0</v>
      </c>
      <c r="S89" s="159">
        <f>'Project Model'!S$48*S79</f>
        <v>0</v>
      </c>
      <c r="T89" s="159">
        <f>'Project Model'!T$48*T79</f>
        <v>0</v>
      </c>
      <c r="U89" s="159">
        <f>'Project Model'!U$48*U79</f>
        <v>0</v>
      </c>
      <c r="V89" s="159">
        <f>'Project Model'!V$48*V79</f>
        <v>0</v>
      </c>
      <c r="W89" s="159">
        <f>'Project Model'!W$48*W79</f>
        <v>0</v>
      </c>
      <c r="X89" s="159">
        <f>'Project Model'!X$48*X79</f>
        <v>0</v>
      </c>
      <c r="Y89" s="571">
        <f t="shared" si="44"/>
        <v>0</v>
      </c>
      <c r="Z89" s="402">
        <v>1</v>
      </c>
      <c r="AA89" s="22"/>
      <c r="AB89" s="77"/>
      <c r="AC89" s="112"/>
      <c r="AD89" s="231">
        <f t="shared" si="45"/>
        <v>0</v>
      </c>
    </row>
    <row r="90" spans="1:30" ht="15" customHeight="1" x14ac:dyDescent="0.25">
      <c r="A90" s="749"/>
      <c r="B90" s="750"/>
      <c r="C90" s="812" t="str">
        <f t="shared" si="43"/>
        <v>Bio gas produced</v>
      </c>
      <c r="D90" s="267" t="s">
        <v>91</v>
      </c>
      <c r="E90" s="159">
        <f>'Project Model'!E$48*E80</f>
        <v>0</v>
      </c>
      <c r="F90" s="159">
        <f>'Project Model'!F$48*F80</f>
        <v>0</v>
      </c>
      <c r="G90" s="159">
        <f>'Project Model'!G$48*G80</f>
        <v>0</v>
      </c>
      <c r="H90" s="159">
        <f>'Project Model'!H$48*H80</f>
        <v>0</v>
      </c>
      <c r="I90" s="159">
        <f>'Project Model'!I$48*I80</f>
        <v>0</v>
      </c>
      <c r="J90" s="159">
        <f>'Project Model'!J$48*J80</f>
        <v>24966</v>
      </c>
      <c r="K90" s="159">
        <f>'Project Model'!K$48*K80</f>
        <v>0</v>
      </c>
      <c r="L90" s="159">
        <f>'Project Model'!L$48*L80</f>
        <v>0</v>
      </c>
      <c r="M90" s="159">
        <f>'Project Model'!M$48*M80</f>
        <v>0</v>
      </c>
      <c r="N90" s="159">
        <f>'Project Model'!N$48*N80</f>
        <v>0</v>
      </c>
      <c r="O90" s="159">
        <f>'Project Model'!O$48*O80</f>
        <v>0</v>
      </c>
      <c r="P90" s="159">
        <f>'Project Model'!P$48*P80</f>
        <v>0</v>
      </c>
      <c r="Q90" s="159">
        <f>'Project Model'!Q$48*Q80</f>
        <v>0</v>
      </c>
      <c r="R90" s="159">
        <f>'Project Model'!R$48*R80</f>
        <v>0</v>
      </c>
      <c r="S90" s="159">
        <f>'Project Model'!S$48*S80</f>
        <v>0</v>
      </c>
      <c r="T90" s="159">
        <f>'Project Model'!T$48*T80</f>
        <v>0</v>
      </c>
      <c r="U90" s="159">
        <f>'Project Model'!U$48*U80</f>
        <v>0</v>
      </c>
      <c r="V90" s="159">
        <f>'Project Model'!V$48*V80</f>
        <v>0</v>
      </c>
      <c r="W90" s="159">
        <f>'Project Model'!W$48*W80</f>
        <v>0</v>
      </c>
      <c r="X90" s="159">
        <f>'Project Model'!X$48*X80</f>
        <v>0</v>
      </c>
      <c r="Y90" s="571">
        <f t="shared" si="44"/>
        <v>24966</v>
      </c>
      <c r="Z90" s="402">
        <v>1</v>
      </c>
      <c r="AA90" s="274">
        <f>1/3.6</f>
        <v>0.27777777777777779</v>
      </c>
      <c r="AB90" s="138">
        <f>51.4/1000</f>
        <v>5.1400000000000001E-2</v>
      </c>
      <c r="AC90" s="112">
        <f>Assumptions!F90</f>
        <v>10</v>
      </c>
      <c r="AD90" s="231">
        <f t="shared" si="45"/>
        <v>249660</v>
      </c>
    </row>
    <row r="91" spans="1:30" ht="15" customHeight="1" x14ac:dyDescent="0.25">
      <c r="A91" s="749"/>
      <c r="B91" s="750"/>
      <c r="C91" s="812" t="str">
        <f t="shared" si="43"/>
        <v>Bio diesel produced</v>
      </c>
      <c r="D91" s="267" t="s">
        <v>90</v>
      </c>
      <c r="E91" s="159">
        <f>'Project Model'!E$48*E81</f>
        <v>0</v>
      </c>
      <c r="F91" s="159">
        <f>'Project Model'!F$48*F81</f>
        <v>0</v>
      </c>
      <c r="G91" s="159">
        <f>'Project Model'!G$48*G81</f>
        <v>0</v>
      </c>
      <c r="H91" s="159">
        <f>'Project Model'!H$48*H81</f>
        <v>0</v>
      </c>
      <c r="I91" s="159">
        <f>'Project Model'!I$48*I81</f>
        <v>0</v>
      </c>
      <c r="J91" s="159">
        <f>'Project Model'!J$48*J81</f>
        <v>0</v>
      </c>
      <c r="K91" s="159">
        <f>'Project Model'!K$48*K81</f>
        <v>0</v>
      </c>
      <c r="L91" s="159">
        <f>'Project Model'!L$48*L81</f>
        <v>0</v>
      </c>
      <c r="M91" s="159">
        <f>'Project Model'!M$48*M81</f>
        <v>0</v>
      </c>
      <c r="N91" s="159">
        <f>'Project Model'!N$48*N81</f>
        <v>0</v>
      </c>
      <c r="O91" s="159">
        <f>'Project Model'!O$48*O81</f>
        <v>0</v>
      </c>
      <c r="P91" s="159">
        <f>'Project Model'!P$48*P81</f>
        <v>0</v>
      </c>
      <c r="Q91" s="159">
        <f>'Project Model'!Q$48*Q81</f>
        <v>0</v>
      </c>
      <c r="R91" s="159">
        <f>'Project Model'!R$48*R81</f>
        <v>0</v>
      </c>
      <c r="S91" s="159">
        <f>'Project Model'!S$48*S81</f>
        <v>0</v>
      </c>
      <c r="T91" s="159">
        <f>'Project Model'!T$48*T81</f>
        <v>0</v>
      </c>
      <c r="U91" s="159">
        <f>'Project Model'!U$48*U81</f>
        <v>0</v>
      </c>
      <c r="V91" s="159">
        <f>'Project Model'!V$48*V81</f>
        <v>0</v>
      </c>
      <c r="W91" s="159">
        <f>'Project Model'!W$48*W81</f>
        <v>0</v>
      </c>
      <c r="X91" s="159">
        <f>'Project Model'!X$48*X81</f>
        <v>0</v>
      </c>
      <c r="Y91" s="571">
        <f t="shared" si="44"/>
        <v>0</v>
      </c>
      <c r="Z91" s="402">
        <v>1</v>
      </c>
      <c r="AA91" s="22"/>
      <c r="AB91" s="76"/>
      <c r="AC91" s="112"/>
      <c r="AD91" s="231">
        <f t="shared" si="45"/>
        <v>0</v>
      </c>
    </row>
    <row r="92" spans="1:30" ht="15" customHeight="1" x14ac:dyDescent="0.25">
      <c r="A92" s="749"/>
      <c r="B92" s="750"/>
      <c r="C92" s="812" t="str">
        <f t="shared" si="43"/>
        <v>Charcoal produced</v>
      </c>
      <c r="D92" s="267" t="s">
        <v>89</v>
      </c>
      <c r="E92" s="159">
        <f>'Project Model'!E$48*E82</f>
        <v>0</v>
      </c>
      <c r="F92" s="159">
        <f>'Project Model'!F$48*F82</f>
        <v>0</v>
      </c>
      <c r="G92" s="159">
        <f>'Project Model'!G$48*G82</f>
        <v>0</v>
      </c>
      <c r="H92" s="159">
        <f>'Project Model'!H$48*H82</f>
        <v>0</v>
      </c>
      <c r="I92" s="159">
        <f>'Project Model'!I$48*I82</f>
        <v>0</v>
      </c>
      <c r="J92" s="159">
        <f>'Project Model'!J$48*J82</f>
        <v>0</v>
      </c>
      <c r="K92" s="159">
        <f>'Project Model'!K$48*K82</f>
        <v>0</v>
      </c>
      <c r="L92" s="159">
        <f>'Project Model'!L$48*L82</f>
        <v>0</v>
      </c>
      <c r="M92" s="159">
        <f>'Project Model'!M$48*M82</f>
        <v>0</v>
      </c>
      <c r="N92" s="159">
        <f>'Project Model'!N$48*N82</f>
        <v>0</v>
      </c>
      <c r="O92" s="159">
        <f>'Project Model'!O$48*O82</f>
        <v>0</v>
      </c>
      <c r="P92" s="159">
        <f>'Project Model'!P$48*P82</f>
        <v>0</v>
      </c>
      <c r="Q92" s="159">
        <f>'Project Model'!Q$48*Q82</f>
        <v>0</v>
      </c>
      <c r="R92" s="159">
        <f>'Project Model'!R$48*R82</f>
        <v>0</v>
      </c>
      <c r="S92" s="159">
        <f>'Project Model'!S$48*S82</f>
        <v>0</v>
      </c>
      <c r="T92" s="159">
        <f>'Project Model'!T$48*T82</f>
        <v>0</v>
      </c>
      <c r="U92" s="159">
        <f>'Project Model'!U$48*U82</f>
        <v>0</v>
      </c>
      <c r="V92" s="159">
        <f>'Project Model'!V$48*V82</f>
        <v>0</v>
      </c>
      <c r="W92" s="159">
        <f>'Project Model'!W$48*W82</f>
        <v>0</v>
      </c>
      <c r="X92" s="159">
        <f>'Project Model'!X$48*X82</f>
        <v>0</v>
      </c>
      <c r="Y92" s="571">
        <f t="shared" si="44"/>
        <v>0</v>
      </c>
      <c r="Z92" s="402">
        <v>1</v>
      </c>
      <c r="AA92" s="22"/>
      <c r="AB92" s="78"/>
      <c r="AC92" s="112"/>
      <c r="AD92" s="231">
        <f t="shared" si="45"/>
        <v>0</v>
      </c>
    </row>
    <row r="93" spans="1:30" ht="15" customHeight="1" x14ac:dyDescent="0.25">
      <c r="A93" s="749"/>
      <c r="B93" s="750"/>
      <c r="C93" s="758" t="s">
        <v>493</v>
      </c>
      <c r="D93" s="20" t="s">
        <v>92</v>
      </c>
      <c r="E93" s="162">
        <f>'Project Model'!E$48*E83</f>
        <v>0</v>
      </c>
      <c r="F93" s="1"/>
      <c r="G93" s="1">
        <f>'Project Model'!G$48*G83</f>
        <v>0</v>
      </c>
      <c r="H93" s="1"/>
      <c r="I93" s="1"/>
      <c r="J93" s="1">
        <f>'Project Model'!J$48*J83</f>
        <v>0</v>
      </c>
      <c r="K93" s="1">
        <f>'Project Model'!K$48*K83</f>
        <v>0</v>
      </c>
      <c r="L93" s="1">
        <f>'Project Model'!L$48*L83</f>
        <v>0</v>
      </c>
      <c r="M93" s="1">
        <f>'Project Model'!M$48*M83</f>
        <v>0</v>
      </c>
      <c r="N93" s="1">
        <f>'Project Model'!N$48*N83</f>
        <v>0</v>
      </c>
      <c r="O93" s="1">
        <f>'Project Model'!O$48*O83</f>
        <v>0</v>
      </c>
      <c r="P93" s="1">
        <f>'Project Model'!P$48*P83</f>
        <v>0</v>
      </c>
      <c r="Q93" s="1">
        <f>'Project Model'!Q$48*Q83</f>
        <v>0</v>
      </c>
      <c r="R93" s="1">
        <f>'Project Model'!R$48*R83</f>
        <v>0</v>
      </c>
      <c r="S93" s="1">
        <f>'Project Model'!S$48*S83</f>
        <v>0</v>
      </c>
      <c r="T93" s="1">
        <f>'Project Model'!T$48*T83</f>
        <v>0</v>
      </c>
      <c r="U93" s="1">
        <f>'Project Model'!U$48*U83</f>
        <v>0</v>
      </c>
      <c r="V93" s="1">
        <f>'Project Model'!V$48*V83</f>
        <v>0</v>
      </c>
      <c r="W93" s="1">
        <f>'Project Model'!W$48*W83</f>
        <v>0</v>
      </c>
      <c r="X93" s="1">
        <f>'Project Model'!X$48*X83</f>
        <v>0</v>
      </c>
      <c r="Y93" s="571">
        <f t="shared" si="44"/>
        <v>0</v>
      </c>
      <c r="Z93" s="402">
        <v>1</v>
      </c>
      <c r="AA93" s="22"/>
      <c r="AB93" s="79"/>
      <c r="AC93" s="112"/>
      <c r="AD93" s="231">
        <f>Y93*AC93</f>
        <v>0</v>
      </c>
    </row>
    <row r="94" spans="1:30" ht="15" customHeight="1" thickBot="1" x14ac:dyDescent="0.3">
      <c r="A94" s="749"/>
      <c r="B94" s="750"/>
      <c r="C94" s="758" t="s">
        <v>497</v>
      </c>
      <c r="D94" s="791" t="s">
        <v>33</v>
      </c>
      <c r="E94" s="813"/>
      <c r="F94" s="284"/>
      <c r="G94" s="284"/>
      <c r="H94" s="284"/>
      <c r="I94" s="284"/>
      <c r="J94" s="284"/>
      <c r="K94" s="284">
        <f>K14*Assumptions!$F$79</f>
        <v>5</v>
      </c>
      <c r="L94" s="284">
        <f>L27*Assumptions!$F$79</f>
        <v>5</v>
      </c>
      <c r="M94" s="284"/>
      <c r="N94" s="284"/>
      <c r="O94" s="284"/>
      <c r="P94" s="284"/>
      <c r="Q94" s="284"/>
      <c r="R94" s="284"/>
      <c r="S94" s="284"/>
      <c r="T94" s="284"/>
      <c r="U94" s="284"/>
      <c r="V94" s="284"/>
      <c r="W94" s="284"/>
      <c r="X94" s="284"/>
      <c r="Y94" s="814">
        <f t="shared" si="44"/>
        <v>10</v>
      </c>
      <c r="Z94" s="559">
        <v>1</v>
      </c>
      <c r="AA94" s="22">
        <v>0</v>
      </c>
      <c r="AB94" s="79"/>
      <c r="AC94" s="113">
        <v>180000</v>
      </c>
      <c r="AD94" s="231">
        <f t="shared" si="45"/>
        <v>1800000</v>
      </c>
    </row>
    <row r="95" spans="1:30" ht="16.5" thickBot="1" x14ac:dyDescent="0.3">
      <c r="A95" s="749"/>
      <c r="B95" s="412" t="s">
        <v>93</v>
      </c>
      <c r="D95" s="127"/>
      <c r="X95"/>
      <c r="Y95" s="754"/>
      <c r="Z95" s="808"/>
      <c r="AA95" s="748"/>
      <c r="AB95" s="179"/>
      <c r="AC95" s="137"/>
      <c r="AD95" s="231"/>
    </row>
    <row r="96" spans="1:30" ht="15" customHeight="1" thickBot="1" x14ac:dyDescent="0.3">
      <c r="A96" s="749"/>
      <c r="B96" s="750"/>
      <c r="C96" s="766" t="s">
        <v>94</v>
      </c>
      <c r="D96" s="803" t="s">
        <v>88</v>
      </c>
      <c r="E96" s="769">
        <f t="shared" ref="E96:X96" si="46">SUMPRODUCT(E$85:E$94,$AA$85:$AA$94,$Z$85:$Z$94)*E$3</f>
        <v>0</v>
      </c>
      <c r="F96" s="769">
        <f t="shared" si="46"/>
        <v>0</v>
      </c>
      <c r="G96" s="769">
        <f t="shared" si="46"/>
        <v>6570</v>
      </c>
      <c r="H96" s="769">
        <f t="shared" si="46"/>
        <v>4993.2000000000007</v>
      </c>
      <c r="I96" s="769">
        <f t="shared" si="46"/>
        <v>7665</v>
      </c>
      <c r="J96" s="769">
        <f t="shared" si="46"/>
        <v>6935</v>
      </c>
      <c r="K96" s="769">
        <f t="shared" si="46"/>
        <v>0</v>
      </c>
      <c r="L96" s="769">
        <f t="shared" si="46"/>
        <v>0</v>
      </c>
      <c r="M96" s="769">
        <f t="shared" si="46"/>
        <v>0</v>
      </c>
      <c r="N96" s="769">
        <f t="shared" si="46"/>
        <v>0</v>
      </c>
      <c r="O96" s="769">
        <f t="shared" si="46"/>
        <v>0</v>
      </c>
      <c r="P96" s="769">
        <f t="shared" si="46"/>
        <v>0</v>
      </c>
      <c r="Q96" s="769">
        <f t="shared" si="46"/>
        <v>0</v>
      </c>
      <c r="R96" s="769">
        <f t="shared" si="46"/>
        <v>0</v>
      </c>
      <c r="S96" s="769">
        <f t="shared" si="46"/>
        <v>0</v>
      </c>
      <c r="T96" s="769">
        <f t="shared" si="46"/>
        <v>0</v>
      </c>
      <c r="U96" s="769">
        <f t="shared" si="46"/>
        <v>0</v>
      </c>
      <c r="V96" s="769">
        <f t="shared" si="46"/>
        <v>0</v>
      </c>
      <c r="W96" s="769">
        <f t="shared" si="46"/>
        <v>0</v>
      </c>
      <c r="X96" s="816">
        <f t="shared" si="46"/>
        <v>0</v>
      </c>
      <c r="Y96" s="771">
        <f>SUM(E96:X96)</f>
        <v>26163.200000000001</v>
      </c>
      <c r="Z96" s="177"/>
      <c r="AA96" s="270"/>
      <c r="AB96" s="179"/>
      <c r="AC96" s="100"/>
      <c r="AD96" s="231">
        <f t="shared" si="45"/>
        <v>0</v>
      </c>
    </row>
    <row r="97" spans="1:30" ht="15" customHeight="1" thickBot="1" x14ac:dyDescent="0.3">
      <c r="A97" s="749"/>
      <c r="B97" s="750"/>
      <c r="C97" s="817" t="s">
        <v>108</v>
      </c>
      <c r="D97" s="73" t="s">
        <v>96</v>
      </c>
      <c r="E97" s="145">
        <f t="shared" ref="E97:X97" si="47">SUMPRODUCT(E$85:E$94,$AB$85:$AB$94,$Z$85:$Z$94)*E$3</f>
        <v>0</v>
      </c>
      <c r="F97" s="145">
        <f t="shared" si="47"/>
        <v>0</v>
      </c>
      <c r="G97" s="145">
        <f t="shared" si="47"/>
        <v>3219.2999999999997</v>
      </c>
      <c r="H97" s="145">
        <f t="shared" si="47"/>
        <v>2446.6680000000001</v>
      </c>
      <c r="I97" s="145">
        <f t="shared" si="47"/>
        <v>3755.85</v>
      </c>
      <c r="J97" s="145">
        <f t="shared" si="47"/>
        <v>1283.2524000000001</v>
      </c>
      <c r="K97" s="145">
        <f t="shared" si="47"/>
        <v>1609.6499999999999</v>
      </c>
      <c r="L97" s="145">
        <f t="shared" si="47"/>
        <v>0</v>
      </c>
      <c r="M97" s="145">
        <f t="shared" si="47"/>
        <v>0</v>
      </c>
      <c r="N97" s="145">
        <f t="shared" si="47"/>
        <v>0</v>
      </c>
      <c r="O97" s="145">
        <f t="shared" si="47"/>
        <v>0</v>
      </c>
      <c r="P97" s="145">
        <f t="shared" si="47"/>
        <v>0</v>
      </c>
      <c r="Q97" s="145">
        <f t="shared" si="47"/>
        <v>0</v>
      </c>
      <c r="R97" s="145">
        <f t="shared" si="47"/>
        <v>0</v>
      </c>
      <c r="S97" s="145">
        <f t="shared" si="47"/>
        <v>0</v>
      </c>
      <c r="T97" s="145">
        <f t="shared" si="47"/>
        <v>0</v>
      </c>
      <c r="U97" s="145">
        <f t="shared" si="47"/>
        <v>0</v>
      </c>
      <c r="V97" s="145">
        <f t="shared" si="47"/>
        <v>0</v>
      </c>
      <c r="W97" s="145">
        <f t="shared" si="47"/>
        <v>0</v>
      </c>
      <c r="X97" s="567">
        <f t="shared" si="47"/>
        <v>0</v>
      </c>
      <c r="Y97" s="572">
        <f>SUM(E97:X97)</f>
        <v>12314.720399999998</v>
      </c>
      <c r="Z97" s="167"/>
      <c r="AA97" s="165"/>
      <c r="AB97" s="80"/>
      <c r="AC97" s="112"/>
      <c r="AD97" s="231">
        <f>Y97*AC97</f>
        <v>0</v>
      </c>
    </row>
    <row r="98" spans="1:30" ht="15" customHeight="1" x14ac:dyDescent="0.25">
      <c r="A98" s="749"/>
      <c r="B98" s="750"/>
      <c r="C98" s="818" t="s">
        <v>109</v>
      </c>
      <c r="D98" s="103" t="s">
        <v>98</v>
      </c>
      <c r="E98" s="275"/>
      <c r="F98" s="12"/>
      <c r="G98" s="12"/>
      <c r="H98" s="12"/>
      <c r="I98" s="12"/>
      <c r="J98" s="12"/>
      <c r="K98" s="12"/>
      <c r="L98" s="12"/>
      <c r="M98" s="12"/>
      <c r="N98" s="12"/>
      <c r="O98" s="12"/>
      <c r="P98" s="12"/>
      <c r="Q98" s="12"/>
      <c r="R98" s="12"/>
      <c r="S98" s="12"/>
      <c r="T98" s="12"/>
      <c r="U98" s="12"/>
      <c r="V98" s="12"/>
      <c r="W98" s="12"/>
      <c r="X98" s="568"/>
      <c r="Y98" s="573">
        <f>SUM(E98:X98)</f>
        <v>0</v>
      </c>
      <c r="Z98" s="173"/>
      <c r="AA98" s="102"/>
      <c r="AB98" s="152"/>
      <c r="AC98" s="292"/>
      <c r="AD98" s="231">
        <f>Y98*AC98</f>
        <v>0</v>
      </c>
    </row>
    <row r="99" spans="1:30" ht="15" customHeight="1" x14ac:dyDescent="0.25">
      <c r="A99" s="749"/>
      <c r="B99" s="750"/>
      <c r="C99" s="818" t="s">
        <v>110</v>
      </c>
      <c r="D99" s="103" t="s">
        <v>98</v>
      </c>
      <c r="E99" s="146">
        <f t="shared" ref="E99:X99" si="48">SUMPRODUCT(E$85:E$94,$AC$85:$AC$94,$Z$85:$Z$94)*E$3</f>
        <v>0</v>
      </c>
      <c r="F99" s="146">
        <f t="shared" si="48"/>
        <v>0</v>
      </c>
      <c r="G99" s="146">
        <f t="shared" si="48"/>
        <v>459900</v>
      </c>
      <c r="H99" s="146">
        <f t="shared" si="48"/>
        <v>349524.00000000006</v>
      </c>
      <c r="I99" s="146">
        <f t="shared" si="48"/>
        <v>613200</v>
      </c>
      <c r="J99" s="146">
        <f t="shared" si="48"/>
        <v>249660</v>
      </c>
      <c r="K99" s="146">
        <f t="shared" si="48"/>
        <v>1228500</v>
      </c>
      <c r="L99" s="146">
        <f t="shared" si="48"/>
        <v>900000</v>
      </c>
      <c r="M99" s="146">
        <f t="shared" si="48"/>
        <v>0</v>
      </c>
      <c r="N99" s="146">
        <f t="shared" si="48"/>
        <v>0</v>
      </c>
      <c r="O99" s="146">
        <f t="shared" si="48"/>
        <v>0</v>
      </c>
      <c r="P99" s="146">
        <f t="shared" si="48"/>
        <v>0</v>
      </c>
      <c r="Q99" s="146">
        <f t="shared" si="48"/>
        <v>0</v>
      </c>
      <c r="R99" s="146">
        <f t="shared" si="48"/>
        <v>0</v>
      </c>
      <c r="S99" s="146">
        <f t="shared" si="48"/>
        <v>0</v>
      </c>
      <c r="T99" s="146">
        <f t="shared" si="48"/>
        <v>0</v>
      </c>
      <c r="U99" s="146">
        <f t="shared" si="48"/>
        <v>0</v>
      </c>
      <c r="V99" s="146">
        <f t="shared" si="48"/>
        <v>0</v>
      </c>
      <c r="W99" s="146">
        <f t="shared" si="48"/>
        <v>0</v>
      </c>
      <c r="X99" s="569">
        <f t="shared" si="48"/>
        <v>0</v>
      </c>
      <c r="Y99" s="573">
        <f>SUM(E99:X99)</f>
        <v>3800784</v>
      </c>
      <c r="Z99" s="173"/>
      <c r="AA99" s="102"/>
      <c r="AB99" s="102"/>
      <c r="AC99" s="100"/>
    </row>
    <row r="100" spans="1:30" ht="15" customHeight="1" thickBot="1" x14ac:dyDescent="0.3">
      <c r="A100" s="749"/>
      <c r="B100" s="750"/>
      <c r="C100" s="775" t="s">
        <v>111</v>
      </c>
      <c r="D100" s="104" t="s">
        <v>98</v>
      </c>
      <c r="E100" s="114">
        <f t="shared" ref="E100:X100" si="49">E98+E99</f>
        <v>0</v>
      </c>
      <c r="F100" s="114">
        <f t="shared" si="49"/>
        <v>0</v>
      </c>
      <c r="G100" s="114">
        <f t="shared" si="49"/>
        <v>459900</v>
      </c>
      <c r="H100" s="114">
        <f t="shared" si="49"/>
        <v>349524.00000000006</v>
      </c>
      <c r="I100" s="114">
        <f t="shared" si="49"/>
        <v>613200</v>
      </c>
      <c r="J100" s="114">
        <f t="shared" si="49"/>
        <v>249660</v>
      </c>
      <c r="K100" s="114">
        <f>K98+K99</f>
        <v>1228500</v>
      </c>
      <c r="L100" s="114">
        <f>L98+L99</f>
        <v>900000</v>
      </c>
      <c r="M100" s="114">
        <f t="shared" si="49"/>
        <v>0</v>
      </c>
      <c r="N100" s="114">
        <f t="shared" ref="N100:W100" si="50">N98+N99</f>
        <v>0</v>
      </c>
      <c r="O100" s="114">
        <f t="shared" si="50"/>
        <v>0</v>
      </c>
      <c r="P100" s="114">
        <f t="shared" si="50"/>
        <v>0</v>
      </c>
      <c r="Q100" s="114">
        <f t="shared" si="50"/>
        <v>0</v>
      </c>
      <c r="R100" s="114">
        <f t="shared" si="50"/>
        <v>0</v>
      </c>
      <c r="S100" s="114">
        <f t="shared" si="50"/>
        <v>0</v>
      </c>
      <c r="T100" s="114">
        <f t="shared" si="50"/>
        <v>0</v>
      </c>
      <c r="U100" s="114">
        <f t="shared" si="50"/>
        <v>0</v>
      </c>
      <c r="V100" s="114">
        <f t="shared" si="50"/>
        <v>0</v>
      </c>
      <c r="W100" s="114">
        <f t="shared" si="50"/>
        <v>0</v>
      </c>
      <c r="X100" s="570">
        <f t="shared" si="49"/>
        <v>0</v>
      </c>
      <c r="Y100" s="574">
        <f>SUM(E100:X100)</f>
        <v>3800784</v>
      </c>
      <c r="Z100" s="174"/>
      <c r="AA100" s="106"/>
      <c r="AB100" s="106"/>
      <c r="AC100" s="101"/>
    </row>
    <row r="101" spans="1:30" ht="15" customHeight="1" x14ac:dyDescent="0.25">
      <c r="B101" s="3"/>
      <c r="C101" s="3"/>
      <c r="D101" s="18"/>
      <c r="X101"/>
      <c r="Z101" s="18"/>
    </row>
    <row r="102" spans="1:30" ht="15" customHeight="1" thickBot="1" x14ac:dyDescent="0.3">
      <c r="A102" s="740" t="s">
        <v>479</v>
      </c>
      <c r="B102" s="3"/>
      <c r="C102" s="3"/>
      <c r="D102" s="18"/>
      <c r="X102"/>
      <c r="Z102" s="18"/>
    </row>
    <row r="103" spans="1:30" ht="15" customHeight="1" thickBot="1" x14ac:dyDescent="0.3">
      <c r="A103" s="718"/>
      <c r="B103" s="718"/>
      <c r="C103" s="819" t="s">
        <v>112</v>
      </c>
      <c r="D103" s="149" t="s">
        <v>40</v>
      </c>
      <c r="E103" s="147"/>
      <c r="F103" s="147"/>
      <c r="G103" s="147"/>
      <c r="H103" s="147"/>
      <c r="I103" s="147"/>
      <c r="J103" s="147"/>
      <c r="K103" s="147"/>
      <c r="L103" s="147"/>
      <c r="M103" s="147"/>
      <c r="N103" s="837"/>
      <c r="O103" s="837"/>
      <c r="P103" s="837"/>
      <c r="Q103" s="837"/>
      <c r="R103" s="837"/>
      <c r="S103" s="837"/>
      <c r="T103" s="837"/>
      <c r="U103" s="837"/>
      <c r="V103" s="837"/>
      <c r="W103" s="837"/>
      <c r="X103" s="148"/>
      <c r="Y103" s="456">
        <f>SUM(E103:X103)</f>
        <v>0</v>
      </c>
      <c r="AA103" s="314" t="s">
        <v>113</v>
      </c>
      <c r="AB103" s="312"/>
      <c r="AC103" s="312"/>
      <c r="AD103" s="315"/>
    </row>
    <row r="104" spans="1:30" x14ac:dyDescent="0.25">
      <c r="A104" s="718"/>
      <c r="B104" s="718"/>
      <c r="C104" s="820" t="s">
        <v>114</v>
      </c>
      <c r="D104" s="19" t="s">
        <v>55</v>
      </c>
      <c r="E104" s="12"/>
      <c r="F104" s="12"/>
      <c r="G104" s="12"/>
      <c r="H104" s="12"/>
      <c r="I104" s="12"/>
      <c r="J104" s="12"/>
      <c r="K104" s="12"/>
      <c r="L104" s="12"/>
      <c r="M104" s="12"/>
      <c r="N104" s="568"/>
      <c r="O104" s="568"/>
      <c r="P104" s="568"/>
      <c r="Q104" s="568"/>
      <c r="R104" s="568"/>
      <c r="S104" s="568"/>
      <c r="T104" s="568"/>
      <c r="U104" s="568"/>
      <c r="V104" s="568"/>
      <c r="W104" s="568"/>
      <c r="X104" s="141"/>
      <c r="Y104" s="457">
        <f>SUM(E104:X104)</f>
        <v>0</v>
      </c>
      <c r="AA104" s="852" t="s">
        <v>115</v>
      </c>
      <c r="AB104" s="853"/>
      <c r="AC104" s="853"/>
      <c r="AD104" s="854"/>
    </row>
    <row r="105" spans="1:30" x14ac:dyDescent="0.25">
      <c r="A105" s="718"/>
      <c r="B105" s="718"/>
      <c r="C105" s="774" t="s">
        <v>116</v>
      </c>
      <c r="D105" s="103" t="s">
        <v>27</v>
      </c>
      <c r="E105" s="12"/>
      <c r="F105" s="12"/>
      <c r="G105" s="12">
        <v>1000000</v>
      </c>
      <c r="H105" s="12"/>
      <c r="I105" s="12">
        <v>500000</v>
      </c>
      <c r="J105" s="12">
        <v>0</v>
      </c>
      <c r="K105" s="12">
        <v>0</v>
      </c>
      <c r="L105" s="12"/>
      <c r="M105" s="12"/>
      <c r="N105" s="568"/>
      <c r="O105" s="568"/>
      <c r="P105" s="568"/>
      <c r="Q105" s="568"/>
      <c r="R105" s="568"/>
      <c r="S105" s="568"/>
      <c r="T105" s="568"/>
      <c r="U105" s="568"/>
      <c r="V105" s="568"/>
      <c r="W105" s="568"/>
      <c r="X105" s="141"/>
      <c r="Y105" s="458">
        <f>SUM(E105:X105)</f>
        <v>1500000</v>
      </c>
      <c r="AA105" s="855"/>
      <c r="AB105" s="856"/>
      <c r="AC105" s="856"/>
      <c r="AD105" s="857"/>
    </row>
    <row r="106" spans="1:30" x14ac:dyDescent="0.25">
      <c r="A106" s="718"/>
      <c r="B106" s="718"/>
      <c r="C106" s="774" t="s">
        <v>117</v>
      </c>
      <c r="D106" s="103" t="s">
        <v>27</v>
      </c>
      <c r="E106" s="12"/>
      <c r="F106" s="12"/>
      <c r="G106" s="12"/>
      <c r="H106" s="12"/>
      <c r="I106" s="12"/>
      <c r="J106" s="12"/>
      <c r="K106" s="12"/>
      <c r="L106" s="12"/>
      <c r="M106" s="12"/>
      <c r="N106" s="568"/>
      <c r="O106" s="568"/>
      <c r="P106" s="568"/>
      <c r="Q106" s="568"/>
      <c r="R106" s="568"/>
      <c r="S106" s="568"/>
      <c r="T106" s="568"/>
      <c r="U106" s="568"/>
      <c r="V106" s="568"/>
      <c r="W106" s="568"/>
      <c r="X106" s="141"/>
      <c r="Y106" s="458">
        <f>SUM(E106:X106)</f>
        <v>0</v>
      </c>
      <c r="AA106" s="855"/>
      <c r="AB106" s="856"/>
      <c r="AC106" s="856"/>
      <c r="AD106" s="857"/>
    </row>
    <row r="107" spans="1:30" ht="15.75" thickBot="1" x14ac:dyDescent="0.3">
      <c r="A107" s="718"/>
      <c r="B107" s="718"/>
      <c r="C107" s="775" t="s">
        <v>118</v>
      </c>
      <c r="D107" s="104" t="s">
        <v>27</v>
      </c>
      <c r="E107" s="114">
        <f t="shared" ref="E107:X107" si="51">(E105-E106)*E$3</f>
        <v>0</v>
      </c>
      <c r="F107" s="114">
        <f t="shared" si="51"/>
        <v>0</v>
      </c>
      <c r="G107" s="114">
        <f t="shared" si="51"/>
        <v>1000000</v>
      </c>
      <c r="H107" s="114">
        <f t="shared" si="51"/>
        <v>0</v>
      </c>
      <c r="I107" s="114">
        <f t="shared" si="51"/>
        <v>500000</v>
      </c>
      <c r="J107" s="114">
        <f t="shared" si="51"/>
        <v>0</v>
      </c>
      <c r="K107" s="114">
        <f>(K105-K106)*K$3</f>
        <v>0</v>
      </c>
      <c r="L107" s="114">
        <f>(L105-L106)*L$3</f>
        <v>0</v>
      </c>
      <c r="M107" s="114">
        <f t="shared" si="51"/>
        <v>0</v>
      </c>
      <c r="N107" s="114">
        <f t="shared" si="51"/>
        <v>0</v>
      </c>
      <c r="O107" s="114">
        <f t="shared" si="51"/>
        <v>0</v>
      </c>
      <c r="P107" s="114">
        <f t="shared" si="51"/>
        <v>0</v>
      </c>
      <c r="Q107" s="114">
        <f t="shared" si="51"/>
        <v>0</v>
      </c>
      <c r="R107" s="114">
        <f t="shared" si="51"/>
        <v>0</v>
      </c>
      <c r="S107" s="114">
        <f t="shared" si="51"/>
        <v>0</v>
      </c>
      <c r="T107" s="114">
        <f t="shared" si="51"/>
        <v>0</v>
      </c>
      <c r="U107" s="114">
        <f t="shared" si="51"/>
        <v>0</v>
      </c>
      <c r="V107" s="114">
        <f t="shared" si="51"/>
        <v>0</v>
      </c>
      <c r="W107" s="114">
        <f t="shared" si="51"/>
        <v>0</v>
      </c>
      <c r="X107" s="263">
        <f t="shared" si="51"/>
        <v>0</v>
      </c>
      <c r="Y107" s="459">
        <f>SUM(E107:X107)</f>
        <v>1500000</v>
      </c>
      <c r="AA107" s="858"/>
      <c r="AB107" s="859"/>
      <c r="AC107" s="859"/>
      <c r="AD107" s="860"/>
    </row>
    <row r="108" spans="1:30" ht="15" customHeight="1" x14ac:dyDescent="0.25">
      <c r="D108" s="18"/>
      <c r="X108"/>
    </row>
    <row r="109" spans="1:30" ht="21.75" thickBot="1" x14ac:dyDescent="0.3">
      <c r="A109" s="740" t="s">
        <v>480</v>
      </c>
      <c r="D109" s="18"/>
      <c r="X109"/>
    </row>
    <row r="110" spans="1:30" ht="15" customHeight="1" x14ac:dyDescent="0.25">
      <c r="A110" s="718"/>
      <c r="B110" s="718"/>
      <c r="C110" s="821" t="s">
        <v>119</v>
      </c>
      <c r="D110" s="149" t="s">
        <v>88</v>
      </c>
      <c r="E110" s="406">
        <f t="shared" ref="E110:X110" si="52">E$96-E$69</f>
        <v>0</v>
      </c>
      <c r="F110" s="406">
        <f t="shared" si="52"/>
        <v>0</v>
      </c>
      <c r="G110" s="406">
        <f t="shared" si="52"/>
        <v>6570</v>
      </c>
      <c r="H110" s="406">
        <f t="shared" si="52"/>
        <v>4993.2000000000007</v>
      </c>
      <c r="I110" s="406">
        <f t="shared" si="52"/>
        <v>7665</v>
      </c>
      <c r="J110" s="406">
        <f t="shared" si="52"/>
        <v>6851.78</v>
      </c>
      <c r="K110" s="406">
        <f>K$96-K$69</f>
        <v>-3650</v>
      </c>
      <c r="L110" s="406">
        <f>L$96-L$69</f>
        <v>-3650</v>
      </c>
      <c r="M110" s="406">
        <f t="shared" si="52"/>
        <v>0</v>
      </c>
      <c r="N110" s="406">
        <f t="shared" si="52"/>
        <v>0</v>
      </c>
      <c r="O110" s="406">
        <f t="shared" si="52"/>
        <v>0</v>
      </c>
      <c r="P110" s="406">
        <f t="shared" si="52"/>
        <v>0</v>
      </c>
      <c r="Q110" s="406">
        <f t="shared" si="52"/>
        <v>0</v>
      </c>
      <c r="R110" s="406">
        <f t="shared" si="52"/>
        <v>0</v>
      </c>
      <c r="S110" s="406">
        <f t="shared" si="52"/>
        <v>0</v>
      </c>
      <c r="T110" s="406">
        <f t="shared" si="52"/>
        <v>0</v>
      </c>
      <c r="U110" s="406">
        <f t="shared" si="52"/>
        <v>0</v>
      </c>
      <c r="V110" s="406">
        <f t="shared" si="52"/>
        <v>0</v>
      </c>
      <c r="W110" s="406">
        <f t="shared" si="52"/>
        <v>0</v>
      </c>
      <c r="X110" s="576">
        <f t="shared" si="52"/>
        <v>0</v>
      </c>
      <c r="Y110" s="580">
        <f>SUM(E110:X110)</f>
        <v>18779.98</v>
      </c>
    </row>
    <row r="111" spans="1:30" ht="14.65" customHeight="1" x14ac:dyDescent="0.25">
      <c r="A111" s="718"/>
      <c r="B111" s="718"/>
      <c r="C111" s="262" t="s">
        <v>120</v>
      </c>
      <c r="D111" s="19" t="s">
        <v>96</v>
      </c>
      <c r="E111" s="575">
        <f t="shared" ref="E111:X111" si="53">E97-E70</f>
        <v>0</v>
      </c>
      <c r="F111" s="575">
        <f t="shared" si="53"/>
        <v>0</v>
      </c>
      <c r="G111" s="575">
        <f t="shared" si="53"/>
        <v>3219.2999999999997</v>
      </c>
      <c r="H111" s="575">
        <f t="shared" si="53"/>
        <v>2446.6680000000001</v>
      </c>
      <c r="I111" s="575">
        <f t="shared" si="53"/>
        <v>3755.85</v>
      </c>
      <c r="J111" s="575">
        <f t="shared" si="53"/>
        <v>1283.2524000000001</v>
      </c>
      <c r="K111" s="575">
        <f>K97-K70</f>
        <v>1609.6499999999999</v>
      </c>
      <c r="L111" s="575">
        <f>L97-L70</f>
        <v>0</v>
      </c>
      <c r="M111" s="575">
        <f t="shared" si="53"/>
        <v>0</v>
      </c>
      <c r="N111" s="575">
        <f t="shared" ref="N111:W111" si="54">N97-N70</f>
        <v>0</v>
      </c>
      <c r="O111" s="575">
        <f t="shared" si="54"/>
        <v>0</v>
      </c>
      <c r="P111" s="575">
        <f t="shared" si="54"/>
        <v>0</v>
      </c>
      <c r="Q111" s="575">
        <f t="shared" si="54"/>
        <v>0</v>
      </c>
      <c r="R111" s="575">
        <f t="shared" si="54"/>
        <v>0</v>
      </c>
      <c r="S111" s="575">
        <f t="shared" si="54"/>
        <v>0</v>
      </c>
      <c r="T111" s="575">
        <f t="shared" si="54"/>
        <v>0</v>
      </c>
      <c r="U111" s="575">
        <f t="shared" si="54"/>
        <v>0</v>
      </c>
      <c r="V111" s="575">
        <f t="shared" si="54"/>
        <v>0</v>
      </c>
      <c r="W111" s="575">
        <f t="shared" si="54"/>
        <v>0</v>
      </c>
      <c r="X111" s="577">
        <f t="shared" si="53"/>
        <v>0</v>
      </c>
      <c r="Y111" s="581">
        <f>SUM(E111:X111)</f>
        <v>12314.720399999998</v>
      </c>
    </row>
    <row r="112" spans="1:30" x14ac:dyDescent="0.25">
      <c r="A112" s="718"/>
      <c r="B112" s="718"/>
      <c r="C112" s="822" t="s">
        <v>121</v>
      </c>
      <c r="D112" s="103" t="s">
        <v>98</v>
      </c>
      <c r="E112" s="115">
        <f t="shared" ref="E112:X112" si="55">E100-E71</f>
        <v>-50000</v>
      </c>
      <c r="F112" s="115">
        <f t="shared" si="55"/>
        <v>0</v>
      </c>
      <c r="G112" s="115">
        <f t="shared" si="55"/>
        <v>449900</v>
      </c>
      <c r="H112" s="115">
        <f t="shared" si="55"/>
        <v>349524.00000000006</v>
      </c>
      <c r="I112" s="115">
        <f t="shared" si="55"/>
        <v>593200</v>
      </c>
      <c r="J112" s="115">
        <f t="shared" si="55"/>
        <v>183056.8</v>
      </c>
      <c r="K112" s="115">
        <f>K100-K71</f>
        <v>999500</v>
      </c>
      <c r="L112" s="115">
        <f>L100-L71</f>
        <v>671000</v>
      </c>
      <c r="M112" s="115">
        <f t="shared" si="55"/>
        <v>0</v>
      </c>
      <c r="N112" s="115">
        <f t="shared" ref="N112:W112" si="56">N100-N71</f>
        <v>0</v>
      </c>
      <c r="O112" s="115">
        <f t="shared" si="56"/>
        <v>0</v>
      </c>
      <c r="P112" s="115">
        <f t="shared" si="56"/>
        <v>0</v>
      </c>
      <c r="Q112" s="115">
        <f t="shared" si="56"/>
        <v>0</v>
      </c>
      <c r="R112" s="115">
        <f t="shared" si="56"/>
        <v>0</v>
      </c>
      <c r="S112" s="115">
        <f t="shared" si="56"/>
        <v>0</v>
      </c>
      <c r="T112" s="115">
        <f t="shared" si="56"/>
        <v>0</v>
      </c>
      <c r="U112" s="115">
        <f t="shared" si="56"/>
        <v>0</v>
      </c>
      <c r="V112" s="115">
        <f t="shared" si="56"/>
        <v>0</v>
      </c>
      <c r="W112" s="115">
        <f t="shared" si="56"/>
        <v>0</v>
      </c>
      <c r="X112" s="578">
        <f t="shared" si="55"/>
        <v>0</v>
      </c>
      <c r="Y112" s="573">
        <f>SUM(E112:X112)</f>
        <v>3196180.8</v>
      </c>
    </row>
    <row r="113" spans="1:34" x14ac:dyDescent="0.25">
      <c r="A113" s="718"/>
      <c r="B113" s="718"/>
      <c r="C113" s="822" t="s">
        <v>122</v>
      </c>
      <c r="D113" s="103" t="s">
        <v>27</v>
      </c>
      <c r="E113" s="115">
        <f t="shared" ref="E113:M113" si="57">E36-E107</f>
        <v>143000</v>
      </c>
      <c r="F113" s="115">
        <f t="shared" si="57"/>
        <v>110000</v>
      </c>
      <c r="G113" s="115">
        <f t="shared" si="57"/>
        <v>2267000</v>
      </c>
      <c r="H113" s="115">
        <f t="shared" si="57"/>
        <v>3201000</v>
      </c>
      <c r="I113" s="115">
        <f t="shared" si="57"/>
        <v>5577500</v>
      </c>
      <c r="J113" s="115">
        <f t="shared" si="57"/>
        <v>1210000</v>
      </c>
      <c r="K113" s="115">
        <f>K36-K107</f>
        <v>7050000</v>
      </c>
      <c r="L113" s="115">
        <f>L36-L107</f>
        <v>10000000</v>
      </c>
      <c r="M113" s="115">
        <f t="shared" si="57"/>
        <v>201000</v>
      </c>
      <c r="N113" s="115">
        <f t="shared" ref="N113:W113" si="58">N36-N107</f>
        <v>0</v>
      </c>
      <c r="O113" s="115">
        <f t="shared" si="58"/>
        <v>0</v>
      </c>
      <c r="P113" s="115">
        <f t="shared" si="58"/>
        <v>0</v>
      </c>
      <c r="Q113" s="115">
        <f t="shared" si="58"/>
        <v>0</v>
      </c>
      <c r="R113" s="115">
        <f t="shared" si="58"/>
        <v>0</v>
      </c>
      <c r="S113" s="115">
        <f t="shared" si="58"/>
        <v>0</v>
      </c>
      <c r="T113" s="115">
        <f t="shared" si="58"/>
        <v>0</v>
      </c>
      <c r="U113" s="115">
        <f t="shared" si="58"/>
        <v>0</v>
      </c>
      <c r="V113" s="115">
        <f t="shared" si="58"/>
        <v>0</v>
      </c>
      <c r="W113" s="115">
        <f t="shared" si="58"/>
        <v>0</v>
      </c>
      <c r="X113" s="578">
        <f>X36+X107</f>
        <v>0</v>
      </c>
      <c r="Y113" s="573">
        <f>SUM(E113:X113)</f>
        <v>29759500</v>
      </c>
    </row>
    <row r="114" spans="1:34" ht="15.75" thickBot="1" x14ac:dyDescent="0.3">
      <c r="A114" s="718"/>
      <c r="B114" s="718"/>
      <c r="C114" s="823" t="s">
        <v>123</v>
      </c>
      <c r="D114" s="104" t="s">
        <v>62</v>
      </c>
      <c r="E114" s="256">
        <f t="shared" ref="E114:Y114" si="59">IFERROR(E112/E36,0)</f>
        <v>-0.34965034965034963</v>
      </c>
      <c r="F114" s="256">
        <f t="shared" si="59"/>
        <v>0</v>
      </c>
      <c r="G114" s="256">
        <f t="shared" si="59"/>
        <v>0.1377104377104377</v>
      </c>
      <c r="H114" s="256">
        <f t="shared" si="59"/>
        <v>0.10919212746016871</v>
      </c>
      <c r="I114" s="256">
        <f t="shared" si="59"/>
        <v>9.760592348827643E-2</v>
      </c>
      <c r="J114" s="256">
        <f t="shared" si="59"/>
        <v>0.15128661157024792</v>
      </c>
      <c r="K114" s="256">
        <f>IFERROR(K112/K36,0)</f>
        <v>0.14177304964539006</v>
      </c>
      <c r="L114" s="256">
        <f>IFERROR(L112/L36,0)</f>
        <v>6.7100000000000007E-2</v>
      </c>
      <c r="M114" s="256">
        <f t="shared" si="59"/>
        <v>0</v>
      </c>
      <c r="N114" s="256">
        <f t="shared" ref="N114:W114" si="60">IFERROR(N112/N36,0)</f>
        <v>0</v>
      </c>
      <c r="O114" s="256">
        <f t="shared" si="60"/>
        <v>0</v>
      </c>
      <c r="P114" s="256">
        <f t="shared" si="60"/>
        <v>0</v>
      </c>
      <c r="Q114" s="256">
        <f t="shared" si="60"/>
        <v>0</v>
      </c>
      <c r="R114" s="256">
        <f t="shared" si="60"/>
        <v>0</v>
      </c>
      <c r="S114" s="256">
        <f t="shared" si="60"/>
        <v>0</v>
      </c>
      <c r="T114" s="256">
        <f t="shared" si="60"/>
        <v>0</v>
      </c>
      <c r="U114" s="256">
        <f t="shared" si="60"/>
        <v>0</v>
      </c>
      <c r="V114" s="256">
        <f t="shared" si="60"/>
        <v>0</v>
      </c>
      <c r="W114" s="256">
        <f t="shared" si="60"/>
        <v>0</v>
      </c>
      <c r="X114" s="579">
        <f t="shared" si="59"/>
        <v>0</v>
      </c>
      <c r="Y114" s="582">
        <f t="shared" si="59"/>
        <v>0.10224670260240887</v>
      </c>
    </row>
    <row r="115" spans="1:34" ht="15" customHeight="1" x14ac:dyDescent="0.25"/>
    <row r="117" spans="1:34" ht="15" customHeight="1" x14ac:dyDescent="0.25">
      <c r="AH117" s="75"/>
    </row>
    <row r="118" spans="1:34" ht="15" customHeight="1" x14ac:dyDescent="0.25"/>
    <row r="119" spans="1:34" ht="15" customHeight="1" x14ac:dyDescent="0.25"/>
    <row r="120" spans="1:34" ht="15" customHeight="1" x14ac:dyDescent="0.25"/>
    <row r="121" spans="1:34" ht="15" customHeight="1" x14ac:dyDescent="0.25"/>
    <row r="122" spans="1:34" ht="15" customHeight="1" x14ac:dyDescent="0.25"/>
    <row r="123" spans="1:34" ht="15" customHeight="1" x14ac:dyDescent="0.25"/>
    <row r="124" spans="1:34" ht="15" customHeight="1" x14ac:dyDescent="0.25"/>
    <row r="125" spans="1:34" ht="15" customHeight="1" x14ac:dyDescent="0.25"/>
    <row r="126" spans="1:34" ht="15" customHeight="1" x14ac:dyDescent="0.25"/>
    <row r="127" spans="1:34" ht="15" customHeight="1" x14ac:dyDescent="0.25"/>
    <row r="128" spans="1:34"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68" spans="24:24" x14ac:dyDescent="0.25">
      <c r="X168"/>
    </row>
    <row r="169" spans="24:24" x14ac:dyDescent="0.25">
      <c r="X169"/>
    </row>
    <row r="170" spans="24:24" x14ac:dyDescent="0.25">
      <c r="X170"/>
    </row>
    <row r="171" spans="24:24" x14ac:dyDescent="0.25">
      <c r="X171"/>
    </row>
  </sheetData>
  <mergeCells count="3">
    <mergeCell ref="B30:B38"/>
    <mergeCell ref="AA104:AD107"/>
    <mergeCell ref="A2:C2"/>
  </mergeCells>
  <phoneticPr fontId="7" type="noConversion"/>
  <conditionalFormatting sqref="E96:Y97 E99:Y100 E107:Y107">
    <cfRule type="expression" dxfId="10" priority="17">
      <formula>NOT(_xlfn.ISFORMULA(E96))</formula>
    </cfRule>
  </conditionalFormatting>
  <conditionalFormatting sqref="Y3 Y6:Y20 Y22:Y28 E30:Y38 Y52:Y58 Y60:Y67 E69:Y71 Y75:Y83 Y85:Y94 Y96:Y100 Y103:Y107 E110:Y114">
    <cfRule type="expression" dxfId="9" priority="1">
      <formula>NOT(_xlfn.ISFORMULA(E3))</formula>
    </cfRule>
  </conditionalFormatting>
  <pageMargins left="0.25" right="0.25" top="0.75" bottom="0.75" header="0.3" footer="0.3"/>
  <pageSetup paperSize="8" scale="81" fitToHeight="0" orientation="landscape" r:id="rId1"/>
  <headerFooter>
    <oddHeader>&amp;C&amp;"Calibri"&amp;10&amp;KFF0000 OFFICIAL&amp;1#_x000D_</oddHead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FF8A71-47AC-4DC5-8899-9F076E3F083C}">
  <sheetPr codeName="Sheet11"/>
  <dimension ref="A1:BM87"/>
  <sheetViews>
    <sheetView tabSelected="1" topLeftCell="A24" zoomScaleNormal="100" workbookViewId="0">
      <selection activeCell="G31" sqref="G31"/>
    </sheetView>
  </sheetViews>
  <sheetFormatPr defaultRowHeight="15" outlineLevelRow="1" outlineLevelCol="1" x14ac:dyDescent="0.25"/>
  <cols>
    <col min="1" max="1" width="9.85546875" customWidth="1"/>
    <col min="2" max="2" width="29.140625" customWidth="1" outlineLevel="1"/>
    <col min="3" max="3" width="8.7109375" customWidth="1" outlineLevel="1"/>
    <col min="4" max="4" width="10.7109375" customWidth="1" outlineLevel="1"/>
    <col min="5" max="5" width="13.7109375" customWidth="1" outlineLevel="1"/>
    <col min="6" max="6" width="11.5703125" customWidth="1" outlineLevel="1"/>
    <col min="7" max="7" width="10" customWidth="1" outlineLevel="1"/>
    <col min="8" max="9" width="8.7109375" customWidth="1" outlineLevel="1"/>
    <col min="10" max="10" width="4" customWidth="1" outlineLevel="1"/>
    <col min="11" max="11" width="36" bestFit="1" customWidth="1"/>
    <col min="12" max="12" width="8.7109375" style="18" customWidth="1"/>
    <col min="13" max="13" width="12.42578125" bestFit="1" customWidth="1"/>
    <col min="14" max="16" width="11.5703125" bestFit="1" customWidth="1"/>
    <col min="17" max="17" width="12" customWidth="1"/>
    <col min="18" max="22" width="11.42578125" bestFit="1" customWidth="1"/>
    <col min="23" max="23" width="12.28515625" customWidth="1"/>
    <col min="24" max="24" width="12.42578125" customWidth="1"/>
    <col min="25" max="33" width="11.42578125" bestFit="1" customWidth="1"/>
    <col min="34" max="65" width="11.140625" customWidth="1"/>
  </cols>
  <sheetData>
    <row r="1" spans="1:65" ht="24" customHeight="1" thickBot="1" x14ac:dyDescent="0.3">
      <c r="A1" s="668">
        <v>0</v>
      </c>
      <c r="B1" s="669" t="s">
        <v>124</v>
      </c>
      <c r="C1" s="866" t="s">
        <v>125</v>
      </c>
      <c r="D1" s="866"/>
      <c r="E1" s="866"/>
      <c r="F1" s="866"/>
      <c r="G1" s="483" t="s">
        <v>126</v>
      </c>
      <c r="H1" s="867" t="s">
        <v>127</v>
      </c>
      <c r="I1" s="868"/>
      <c r="J1" s="411"/>
      <c r="K1" s="674" t="s">
        <v>128</v>
      </c>
      <c r="L1" s="675"/>
      <c r="M1" s="676">
        <f>0</f>
        <v>0</v>
      </c>
      <c r="N1" s="677">
        <v>1</v>
      </c>
      <c r="O1" s="677">
        <v>2</v>
      </c>
      <c r="P1" s="677">
        <v>3</v>
      </c>
      <c r="Q1" s="677">
        <v>4</v>
      </c>
      <c r="R1" s="677">
        <v>5</v>
      </c>
      <c r="S1" s="677">
        <v>6</v>
      </c>
      <c r="T1" s="677">
        <v>7</v>
      </c>
      <c r="U1" s="677">
        <v>8</v>
      </c>
      <c r="V1" s="677">
        <v>9</v>
      </c>
      <c r="W1" s="677">
        <v>10</v>
      </c>
      <c r="X1" s="677">
        <v>11</v>
      </c>
      <c r="Y1" s="677">
        <v>12</v>
      </c>
      <c r="Z1" s="677">
        <v>13</v>
      </c>
      <c r="AA1" s="677">
        <v>14</v>
      </c>
      <c r="AB1" s="677">
        <v>15</v>
      </c>
      <c r="AC1" s="677">
        <v>16</v>
      </c>
      <c r="AD1" s="677">
        <v>17</v>
      </c>
      <c r="AE1" s="677">
        <v>18</v>
      </c>
      <c r="AF1" s="677">
        <v>19</v>
      </c>
      <c r="AG1" s="677">
        <v>20</v>
      </c>
      <c r="AH1" s="677">
        <v>21</v>
      </c>
      <c r="AI1" s="677">
        <v>22</v>
      </c>
      <c r="AJ1" s="677">
        <v>23</v>
      </c>
      <c r="AK1" s="677">
        <v>24</v>
      </c>
      <c r="AL1" s="677">
        <v>25</v>
      </c>
      <c r="AM1" s="677">
        <v>26</v>
      </c>
      <c r="AN1" s="677">
        <v>27</v>
      </c>
      <c r="AO1" s="677">
        <v>28</v>
      </c>
      <c r="AP1" s="677">
        <v>29</v>
      </c>
      <c r="AQ1" s="677">
        <v>30</v>
      </c>
      <c r="AR1" s="677">
        <v>31</v>
      </c>
      <c r="AS1" s="677">
        <v>32</v>
      </c>
      <c r="AT1" s="677">
        <v>33</v>
      </c>
      <c r="AU1" s="677">
        <v>34</v>
      </c>
      <c r="AV1" s="677">
        <v>35</v>
      </c>
      <c r="AW1" s="677">
        <v>36</v>
      </c>
      <c r="AX1" s="677">
        <v>37</v>
      </c>
      <c r="AY1" s="677">
        <v>38</v>
      </c>
      <c r="AZ1" s="677">
        <v>39</v>
      </c>
      <c r="BA1" s="677">
        <v>40</v>
      </c>
      <c r="BB1" s="677">
        <v>41</v>
      </c>
      <c r="BC1" s="677">
        <v>42</v>
      </c>
      <c r="BD1" s="677">
        <v>43</v>
      </c>
      <c r="BE1" s="677">
        <v>44</v>
      </c>
      <c r="BF1" s="677">
        <v>45</v>
      </c>
      <c r="BG1" s="677">
        <v>46</v>
      </c>
      <c r="BH1" s="677">
        <v>47</v>
      </c>
      <c r="BI1" s="677">
        <v>48</v>
      </c>
      <c r="BJ1" s="677">
        <v>49</v>
      </c>
      <c r="BK1" s="677">
        <v>50</v>
      </c>
      <c r="BL1" s="677">
        <v>51</v>
      </c>
      <c r="BM1" s="677">
        <v>52</v>
      </c>
    </row>
    <row r="2" spans="1:65" ht="15.75" x14ac:dyDescent="0.25">
      <c r="A2" s="670">
        <f>DATE(YEAR(Assumptions!$F$9)-(MONTH(Assumptions!$F$9)&lt;Assumptions!$F$10), Assumptions!$F$10, 1)</f>
        <v>46204</v>
      </c>
      <c r="B2" s="671" t="s">
        <v>129</v>
      </c>
      <c r="C2" s="862" t="s">
        <v>130</v>
      </c>
      <c r="D2" s="876" t="s">
        <v>131</v>
      </c>
      <c r="E2" s="876" t="s">
        <v>132</v>
      </c>
      <c r="F2" s="878" t="s">
        <v>133</v>
      </c>
      <c r="G2" s="880" t="s">
        <v>134</v>
      </c>
      <c r="H2" s="862" t="s">
        <v>135</v>
      </c>
      <c r="I2" s="864" t="s">
        <v>136</v>
      </c>
      <c r="J2" s="496"/>
      <c r="K2" s="502" t="s">
        <v>137</v>
      </c>
      <c r="L2" s="503"/>
      <c r="M2" s="393">
        <f>EDATE($A$2-1,12*($A$1+1))</f>
        <v>46568</v>
      </c>
      <c r="N2" s="320">
        <f t="dataTable" ref="N2:BM75" dt2D="0" dtr="1" r1="A1"/>
        <v>46934</v>
      </c>
      <c r="O2" s="320">
        <v>47299</v>
      </c>
      <c r="P2" s="320">
        <v>47664</v>
      </c>
      <c r="Q2" s="320">
        <v>48029</v>
      </c>
      <c r="R2" s="320">
        <v>48395</v>
      </c>
      <c r="S2" s="320">
        <v>48760</v>
      </c>
      <c r="T2" s="320">
        <v>49125</v>
      </c>
      <c r="U2" s="320">
        <v>49490</v>
      </c>
      <c r="V2" s="320">
        <v>49856</v>
      </c>
      <c r="W2" s="320">
        <v>50221</v>
      </c>
      <c r="X2" s="320">
        <v>50586</v>
      </c>
      <c r="Y2" s="320">
        <v>50951</v>
      </c>
      <c r="Z2" s="320">
        <v>51317</v>
      </c>
      <c r="AA2" s="320">
        <v>51682</v>
      </c>
      <c r="AB2" s="320">
        <v>52047</v>
      </c>
      <c r="AC2" s="320">
        <v>52412</v>
      </c>
      <c r="AD2" s="320">
        <v>52778</v>
      </c>
      <c r="AE2" s="320">
        <v>53143</v>
      </c>
      <c r="AF2" s="320">
        <v>53508</v>
      </c>
      <c r="AG2" s="320">
        <v>53873</v>
      </c>
      <c r="AH2" s="320">
        <v>54239</v>
      </c>
      <c r="AI2" s="320">
        <v>54604</v>
      </c>
      <c r="AJ2" s="320">
        <v>54969</v>
      </c>
      <c r="AK2" s="320">
        <v>55334</v>
      </c>
      <c r="AL2" s="320">
        <v>55700</v>
      </c>
      <c r="AM2" s="320">
        <v>56065</v>
      </c>
      <c r="AN2" s="320">
        <v>56430</v>
      </c>
      <c r="AO2" s="320">
        <v>56795</v>
      </c>
      <c r="AP2" s="320">
        <v>57161</v>
      </c>
      <c r="AQ2" s="320">
        <v>57526</v>
      </c>
      <c r="AR2" s="320">
        <v>57891</v>
      </c>
      <c r="AS2" s="320">
        <v>58256</v>
      </c>
      <c r="AT2" s="320">
        <v>58622</v>
      </c>
      <c r="AU2" s="320">
        <v>58987</v>
      </c>
      <c r="AV2" s="320">
        <v>59352</v>
      </c>
      <c r="AW2" s="320">
        <v>59717</v>
      </c>
      <c r="AX2" s="320">
        <v>60083</v>
      </c>
      <c r="AY2" s="320">
        <v>60448</v>
      </c>
      <c r="AZ2" s="320">
        <v>60813</v>
      </c>
      <c r="BA2" s="320">
        <v>61178</v>
      </c>
      <c r="BB2" s="320">
        <v>61544</v>
      </c>
      <c r="BC2" s="320">
        <v>61909</v>
      </c>
      <c r="BD2" s="320">
        <v>62274</v>
      </c>
      <c r="BE2" s="320">
        <v>62639</v>
      </c>
      <c r="BF2" s="320">
        <v>63005</v>
      </c>
      <c r="BG2" s="320">
        <v>63370</v>
      </c>
      <c r="BH2" s="320">
        <v>63735</v>
      </c>
      <c r="BI2" s="320">
        <v>64100</v>
      </c>
      <c r="BJ2" s="320">
        <v>64466</v>
      </c>
      <c r="BK2" s="320">
        <v>64831</v>
      </c>
      <c r="BL2" s="320">
        <v>65196</v>
      </c>
      <c r="BM2" s="320">
        <v>65561</v>
      </c>
    </row>
    <row r="3" spans="1:65" ht="16.5" thickBot="1" x14ac:dyDescent="0.3">
      <c r="A3" s="672">
        <f>-DATEDIF($A$2,Assumptions!$F$9,"M")</f>
        <v>-3</v>
      </c>
      <c r="B3" s="673" t="s">
        <v>138</v>
      </c>
      <c r="C3" s="863"/>
      <c r="D3" s="877"/>
      <c r="E3" s="877"/>
      <c r="F3" s="879"/>
      <c r="G3" s="881"/>
      <c r="H3" s="863"/>
      <c r="I3" s="865"/>
      <c r="J3" s="496"/>
      <c r="K3" s="502" t="s">
        <v>139</v>
      </c>
      <c r="L3" s="504" t="s">
        <v>65</v>
      </c>
      <c r="M3" s="394">
        <f>$A$3+12*$A$1</f>
        <v>-3</v>
      </c>
      <c r="N3" s="396">
        <v>9</v>
      </c>
      <c r="O3" s="396">
        <v>21</v>
      </c>
      <c r="P3" s="396">
        <v>33</v>
      </c>
      <c r="Q3" s="396">
        <v>45</v>
      </c>
      <c r="R3" s="396">
        <v>57</v>
      </c>
      <c r="S3" s="396">
        <v>69</v>
      </c>
      <c r="T3" s="396">
        <v>81</v>
      </c>
      <c r="U3" s="396">
        <v>93</v>
      </c>
      <c r="V3" s="396">
        <v>105</v>
      </c>
      <c r="W3" s="396">
        <v>117</v>
      </c>
      <c r="X3" s="396">
        <v>129</v>
      </c>
      <c r="Y3" s="396">
        <v>141</v>
      </c>
      <c r="Z3" s="396">
        <v>153</v>
      </c>
      <c r="AA3" s="396">
        <v>165</v>
      </c>
      <c r="AB3" s="396">
        <v>177</v>
      </c>
      <c r="AC3" s="396">
        <v>189</v>
      </c>
      <c r="AD3" s="396">
        <v>201</v>
      </c>
      <c r="AE3" s="396">
        <v>213</v>
      </c>
      <c r="AF3" s="396">
        <v>225</v>
      </c>
      <c r="AG3" s="396">
        <v>237</v>
      </c>
      <c r="AH3" s="396">
        <v>249</v>
      </c>
      <c r="AI3" s="396">
        <v>261</v>
      </c>
      <c r="AJ3" s="396">
        <v>273</v>
      </c>
      <c r="AK3" s="396">
        <v>285</v>
      </c>
      <c r="AL3" s="396">
        <v>297</v>
      </c>
      <c r="AM3" s="396">
        <v>309</v>
      </c>
      <c r="AN3" s="396">
        <v>321</v>
      </c>
      <c r="AO3" s="396">
        <v>333</v>
      </c>
      <c r="AP3" s="396">
        <v>345</v>
      </c>
      <c r="AQ3" s="396">
        <v>357</v>
      </c>
      <c r="AR3" s="396">
        <v>369</v>
      </c>
      <c r="AS3" s="396">
        <v>381</v>
      </c>
      <c r="AT3" s="396">
        <v>393</v>
      </c>
      <c r="AU3" s="396">
        <v>405</v>
      </c>
      <c r="AV3" s="396">
        <v>417</v>
      </c>
      <c r="AW3" s="396">
        <v>429</v>
      </c>
      <c r="AX3" s="396">
        <v>441</v>
      </c>
      <c r="AY3" s="396">
        <v>453</v>
      </c>
      <c r="AZ3" s="396">
        <v>465</v>
      </c>
      <c r="BA3" s="396">
        <v>477</v>
      </c>
      <c r="BB3" s="396">
        <v>489</v>
      </c>
      <c r="BC3" s="396">
        <v>501</v>
      </c>
      <c r="BD3" s="396">
        <v>513</v>
      </c>
      <c r="BE3" s="396">
        <v>525</v>
      </c>
      <c r="BF3" s="396">
        <v>537</v>
      </c>
      <c r="BG3" s="396">
        <v>549</v>
      </c>
      <c r="BH3" s="396">
        <v>561</v>
      </c>
      <c r="BI3" s="396">
        <v>573</v>
      </c>
      <c r="BJ3" s="396">
        <v>585</v>
      </c>
      <c r="BK3" s="396">
        <v>597</v>
      </c>
      <c r="BL3" s="396">
        <v>609</v>
      </c>
      <c r="BM3" s="396">
        <v>621</v>
      </c>
    </row>
    <row r="4" spans="1:65" ht="16.5" thickBot="1" x14ac:dyDescent="0.3">
      <c r="A4" s="663"/>
      <c r="B4" s="664"/>
      <c r="C4" s="863"/>
      <c r="D4" s="877"/>
      <c r="E4" s="877"/>
      <c r="F4" s="879"/>
      <c r="G4" s="881"/>
      <c r="H4" s="863"/>
      <c r="I4" s="865"/>
      <c r="J4" s="496"/>
      <c r="K4" s="429" t="s">
        <v>140</v>
      </c>
      <c r="L4" s="505" t="s">
        <v>65</v>
      </c>
      <c r="M4" s="423">
        <f>$A$3+12*($A$1+1)</f>
        <v>9</v>
      </c>
      <c r="N4" s="424">
        <v>21</v>
      </c>
      <c r="O4" s="424">
        <v>33</v>
      </c>
      <c r="P4" s="424">
        <v>45</v>
      </c>
      <c r="Q4" s="424">
        <v>57</v>
      </c>
      <c r="R4" s="424">
        <v>69</v>
      </c>
      <c r="S4" s="424">
        <v>81</v>
      </c>
      <c r="T4" s="424">
        <v>93</v>
      </c>
      <c r="U4" s="424">
        <v>105</v>
      </c>
      <c r="V4" s="424">
        <v>117</v>
      </c>
      <c r="W4" s="424">
        <v>129</v>
      </c>
      <c r="X4" s="424">
        <v>141</v>
      </c>
      <c r="Y4" s="424">
        <v>153</v>
      </c>
      <c r="Z4" s="424">
        <v>165</v>
      </c>
      <c r="AA4" s="424">
        <v>177</v>
      </c>
      <c r="AB4" s="424">
        <v>189</v>
      </c>
      <c r="AC4" s="424">
        <v>201</v>
      </c>
      <c r="AD4" s="424">
        <v>213</v>
      </c>
      <c r="AE4" s="424">
        <v>225</v>
      </c>
      <c r="AF4" s="424">
        <v>237</v>
      </c>
      <c r="AG4" s="424">
        <v>249</v>
      </c>
      <c r="AH4" s="424">
        <v>261</v>
      </c>
      <c r="AI4" s="424">
        <v>273</v>
      </c>
      <c r="AJ4" s="424">
        <v>285</v>
      </c>
      <c r="AK4" s="424">
        <v>297</v>
      </c>
      <c r="AL4" s="424">
        <v>309</v>
      </c>
      <c r="AM4" s="424">
        <v>321</v>
      </c>
      <c r="AN4" s="424">
        <v>333</v>
      </c>
      <c r="AO4" s="424">
        <v>345</v>
      </c>
      <c r="AP4" s="424">
        <v>357</v>
      </c>
      <c r="AQ4" s="424">
        <v>369</v>
      </c>
      <c r="AR4" s="424">
        <v>381</v>
      </c>
      <c r="AS4" s="424">
        <v>393</v>
      </c>
      <c r="AT4" s="424">
        <v>405</v>
      </c>
      <c r="AU4" s="424">
        <v>417</v>
      </c>
      <c r="AV4" s="424">
        <v>429</v>
      </c>
      <c r="AW4" s="424">
        <v>441</v>
      </c>
      <c r="AX4" s="424">
        <v>453</v>
      </c>
      <c r="AY4" s="424">
        <v>465</v>
      </c>
      <c r="AZ4" s="424">
        <v>477</v>
      </c>
      <c r="BA4" s="424">
        <v>489</v>
      </c>
      <c r="BB4" s="424">
        <v>501</v>
      </c>
      <c r="BC4" s="424">
        <v>513</v>
      </c>
      <c r="BD4" s="424">
        <v>525</v>
      </c>
      <c r="BE4" s="424">
        <v>537</v>
      </c>
      <c r="BF4" s="424">
        <v>549</v>
      </c>
      <c r="BG4" s="424">
        <v>561</v>
      </c>
      <c r="BH4" s="424">
        <v>573</v>
      </c>
      <c r="BI4" s="424">
        <v>585</v>
      </c>
      <c r="BJ4" s="424">
        <v>597</v>
      </c>
      <c r="BK4" s="424">
        <v>609</v>
      </c>
      <c r="BL4" s="424">
        <v>621</v>
      </c>
      <c r="BM4" s="424">
        <v>633</v>
      </c>
    </row>
    <row r="5" spans="1:65" ht="14.65" customHeight="1" x14ac:dyDescent="0.25">
      <c r="A5" s="873" t="s">
        <v>481</v>
      </c>
      <c r="C5" s="863"/>
      <c r="D5" s="877"/>
      <c r="E5" s="877"/>
      <c r="F5" s="879"/>
      <c r="G5" s="881"/>
      <c r="H5" s="863"/>
      <c r="I5" s="865"/>
      <c r="J5" s="496"/>
      <c r="K5" s="426" t="s">
        <v>141</v>
      </c>
      <c r="L5" s="506" t="s">
        <v>27</v>
      </c>
      <c r="M5" s="499">
        <f>SUMIFS($D$8:$D$28,$C$8:$C$28,"&gt;"&amp;$M$3,$C$8:$C$28,"&lt;="&amp;$M$4)</f>
        <v>3299479.166666667</v>
      </c>
      <c r="N5" s="413">
        <v>200520.83333333331</v>
      </c>
      <c r="O5" s="413">
        <v>0</v>
      </c>
      <c r="P5" s="413">
        <v>0</v>
      </c>
      <c r="Q5" s="413">
        <v>0</v>
      </c>
      <c r="R5" s="413">
        <v>0</v>
      </c>
      <c r="S5" s="413">
        <v>0</v>
      </c>
      <c r="T5" s="413">
        <v>0</v>
      </c>
      <c r="U5" s="413">
        <v>0</v>
      </c>
      <c r="V5" s="413">
        <v>0</v>
      </c>
      <c r="W5" s="413">
        <v>0</v>
      </c>
      <c r="X5" s="413">
        <v>0</v>
      </c>
      <c r="Y5" s="413">
        <v>0</v>
      </c>
      <c r="Z5" s="413">
        <v>0</v>
      </c>
      <c r="AA5" s="413">
        <v>0</v>
      </c>
      <c r="AB5" s="413">
        <v>0</v>
      </c>
      <c r="AC5" s="413">
        <v>0</v>
      </c>
      <c r="AD5" s="413">
        <v>0</v>
      </c>
      <c r="AE5" s="413">
        <v>0</v>
      </c>
      <c r="AF5" s="413">
        <v>0</v>
      </c>
      <c r="AG5" s="413">
        <v>0</v>
      </c>
      <c r="AH5" s="413">
        <v>0</v>
      </c>
      <c r="AI5" s="413">
        <v>0</v>
      </c>
      <c r="AJ5" s="413">
        <v>0</v>
      </c>
      <c r="AK5" s="413">
        <v>0</v>
      </c>
      <c r="AL5" s="413">
        <v>0</v>
      </c>
      <c r="AM5" s="413">
        <v>0</v>
      </c>
      <c r="AN5" s="413">
        <v>0</v>
      </c>
      <c r="AO5" s="413">
        <v>0</v>
      </c>
      <c r="AP5" s="413">
        <v>0</v>
      </c>
      <c r="AQ5" s="413">
        <v>0</v>
      </c>
      <c r="AR5" s="413">
        <v>0</v>
      </c>
      <c r="AS5" s="413">
        <v>0</v>
      </c>
      <c r="AT5" s="413">
        <v>0</v>
      </c>
      <c r="AU5" s="413">
        <v>0</v>
      </c>
      <c r="AV5" s="413">
        <v>0</v>
      </c>
      <c r="AW5" s="413">
        <v>0</v>
      </c>
      <c r="AX5" s="413">
        <v>0</v>
      </c>
      <c r="AY5" s="413">
        <v>0</v>
      </c>
      <c r="AZ5" s="413">
        <v>0</v>
      </c>
      <c r="BA5" s="413">
        <v>0</v>
      </c>
      <c r="BB5" s="413">
        <v>0</v>
      </c>
      <c r="BC5" s="413">
        <v>0</v>
      </c>
      <c r="BD5" s="413">
        <v>0</v>
      </c>
      <c r="BE5" s="413">
        <v>0</v>
      </c>
      <c r="BF5" s="413">
        <v>0</v>
      </c>
      <c r="BG5" s="413">
        <v>0</v>
      </c>
      <c r="BH5" s="413">
        <v>0</v>
      </c>
      <c r="BI5" s="413">
        <v>0</v>
      </c>
      <c r="BJ5" s="413">
        <v>0</v>
      </c>
      <c r="BK5" s="413">
        <v>0</v>
      </c>
      <c r="BL5" s="413">
        <v>0</v>
      </c>
      <c r="BM5" s="413">
        <v>0</v>
      </c>
    </row>
    <row r="6" spans="1:65" ht="15.75" x14ac:dyDescent="0.25">
      <c r="A6" s="874"/>
      <c r="C6" s="863"/>
      <c r="D6" s="877"/>
      <c r="E6" s="877"/>
      <c r="F6" s="879"/>
      <c r="G6" s="881"/>
      <c r="H6" s="863"/>
      <c r="I6" s="865"/>
      <c r="J6" s="496"/>
      <c r="K6" s="428" t="s">
        <v>142</v>
      </c>
      <c r="L6" s="507" t="s">
        <v>27</v>
      </c>
      <c r="M6" s="397">
        <f>-SUMIFS($E8:$E27,$C8:$C27,"&gt;"&amp;$M$3,$C8:$C27,"&lt;="&amp;$M$4)</f>
        <v>-19848500</v>
      </c>
      <c r="N6" s="11">
        <v>-1210000</v>
      </c>
      <c r="O6" s="11">
        <v>0</v>
      </c>
      <c r="P6" s="11">
        <v>0</v>
      </c>
      <c r="Q6" s="11">
        <v>0</v>
      </c>
      <c r="R6" s="11">
        <v>0</v>
      </c>
      <c r="S6" s="11">
        <v>0</v>
      </c>
      <c r="T6" s="11">
        <v>0</v>
      </c>
      <c r="U6" s="11">
        <v>0</v>
      </c>
      <c r="V6" s="11">
        <v>0</v>
      </c>
      <c r="W6" s="11">
        <v>-201000</v>
      </c>
      <c r="X6" s="11">
        <v>-10000000</v>
      </c>
      <c r="Y6" s="11">
        <v>0</v>
      </c>
      <c r="Z6" s="11">
        <v>0</v>
      </c>
      <c r="AA6" s="11">
        <v>0</v>
      </c>
      <c r="AB6" s="11">
        <v>0</v>
      </c>
      <c r="AC6" s="11">
        <v>0</v>
      </c>
      <c r="AD6" s="11">
        <v>0</v>
      </c>
      <c r="AE6" s="11">
        <v>0</v>
      </c>
      <c r="AF6" s="11">
        <v>0</v>
      </c>
      <c r="AG6" s="11">
        <v>0</v>
      </c>
      <c r="AH6" s="11">
        <v>0</v>
      </c>
      <c r="AI6" s="11">
        <v>0</v>
      </c>
      <c r="AJ6" s="11">
        <v>0</v>
      </c>
      <c r="AK6" s="11">
        <v>0</v>
      </c>
      <c r="AL6" s="11">
        <v>0</v>
      </c>
      <c r="AM6" s="11">
        <v>0</v>
      </c>
      <c r="AN6" s="11">
        <v>0</v>
      </c>
      <c r="AO6" s="11">
        <v>0</v>
      </c>
      <c r="AP6" s="11">
        <v>0</v>
      </c>
      <c r="AQ6" s="11">
        <v>0</v>
      </c>
      <c r="AR6" s="11">
        <v>0</v>
      </c>
      <c r="AS6" s="11">
        <v>0</v>
      </c>
      <c r="AT6" s="11">
        <v>0</v>
      </c>
      <c r="AU6" s="11">
        <v>0</v>
      </c>
      <c r="AV6" s="11">
        <v>0</v>
      </c>
      <c r="AW6" s="11">
        <v>0</v>
      </c>
      <c r="AX6" s="11">
        <v>0</v>
      </c>
      <c r="AY6" s="11">
        <v>0</v>
      </c>
      <c r="AZ6" s="11">
        <v>0</v>
      </c>
      <c r="BA6" s="11">
        <v>0</v>
      </c>
      <c r="BB6" s="11">
        <v>0</v>
      </c>
      <c r="BC6" s="11">
        <v>0</v>
      </c>
      <c r="BD6" s="11">
        <v>0</v>
      </c>
      <c r="BE6" s="11">
        <v>0</v>
      </c>
      <c r="BF6" s="11">
        <v>0</v>
      </c>
      <c r="BG6" s="11">
        <v>0</v>
      </c>
      <c r="BH6" s="11">
        <v>0</v>
      </c>
      <c r="BI6" s="11">
        <v>0</v>
      </c>
      <c r="BJ6" s="11">
        <v>0</v>
      </c>
      <c r="BK6" s="11">
        <v>0</v>
      </c>
      <c r="BL6" s="11">
        <v>0</v>
      </c>
      <c r="BM6" s="11">
        <v>0</v>
      </c>
    </row>
    <row r="7" spans="1:65" ht="15.6" customHeight="1" thickBot="1" x14ac:dyDescent="0.3">
      <c r="A7" s="874"/>
      <c r="C7" s="474" t="str" cm="1">
        <f t="array" ref="C7:C27">TRANSPOSE('Project Model'!$D$41:$X$41)</f>
        <v>Month</v>
      </c>
      <c r="D7" s="281" t="str" cm="1">
        <f t="array" ref="D7:D27">TRANSPOSE('Project Model'!$D$38:$X$38)</f>
        <v>$</v>
      </c>
      <c r="E7" s="281" t="str" cm="1">
        <f t="array" ref="E7:E27">TRANSPOSE('Project Model'!$D$36:$X$36)</f>
        <v>$</v>
      </c>
      <c r="F7" s="422" t="str" cm="1">
        <f t="array" ref="F7:F27">TRANSPOSE('Project Model'!$D$107:$X$107)</f>
        <v>$</v>
      </c>
      <c r="G7" s="484" t="str" cm="1">
        <f t="array" ref="G7:G27">TRANSPOSE('Project Model'!$D$112:$X$112)</f>
        <v>$/yr</v>
      </c>
      <c r="H7" s="474" t="str" cm="1">
        <f t="array" ref="H7:H27">TRANSPOSE('Project Model'!$D$42:$X$42)</f>
        <v>Month</v>
      </c>
      <c r="I7" s="475" t="str" cm="1">
        <f t="array" ref="I7:I27">TRANSPOSE('Project Model'!$D$44:$X$44)</f>
        <v>Month</v>
      </c>
      <c r="J7" s="127"/>
      <c r="K7" s="429" t="s">
        <v>143</v>
      </c>
      <c r="L7" s="508" t="s">
        <v>27</v>
      </c>
      <c r="M7" s="500">
        <f>SUMIFS($F8:$F27,$I8:$I27,"&gt;"&amp;$M$3,$I8:$I27,"&lt;="&amp;$M$4)</f>
        <v>0</v>
      </c>
      <c r="N7" s="403">
        <v>0</v>
      </c>
      <c r="O7" s="403">
        <v>0</v>
      </c>
      <c r="P7" s="403">
        <v>0</v>
      </c>
      <c r="Q7" s="403">
        <v>0</v>
      </c>
      <c r="R7" s="403">
        <v>0</v>
      </c>
      <c r="S7" s="403">
        <v>0</v>
      </c>
      <c r="T7" s="403">
        <v>0</v>
      </c>
      <c r="U7" s="403">
        <v>0</v>
      </c>
      <c r="V7" s="403">
        <v>0</v>
      </c>
      <c r="W7" s="403">
        <v>0</v>
      </c>
      <c r="X7" s="403">
        <v>0</v>
      </c>
      <c r="Y7" s="403">
        <v>0</v>
      </c>
      <c r="Z7" s="403">
        <v>0</v>
      </c>
      <c r="AA7" s="403">
        <v>0</v>
      </c>
      <c r="AB7" s="403">
        <v>0</v>
      </c>
      <c r="AC7" s="403">
        <v>0</v>
      </c>
      <c r="AD7" s="403">
        <v>0</v>
      </c>
      <c r="AE7" s="403">
        <v>0</v>
      </c>
      <c r="AF7" s="403">
        <v>0</v>
      </c>
      <c r="AG7" s="403">
        <v>1500000</v>
      </c>
      <c r="AH7" s="403">
        <v>0</v>
      </c>
      <c r="AI7" s="403">
        <v>0</v>
      </c>
      <c r="AJ7" s="403">
        <v>0</v>
      </c>
      <c r="AK7" s="403">
        <v>0</v>
      </c>
      <c r="AL7" s="403">
        <v>0</v>
      </c>
      <c r="AM7" s="403">
        <v>0</v>
      </c>
      <c r="AN7" s="403">
        <v>0</v>
      </c>
      <c r="AO7" s="403">
        <v>0</v>
      </c>
      <c r="AP7" s="403">
        <v>0</v>
      </c>
      <c r="AQ7" s="403">
        <v>0</v>
      </c>
      <c r="AR7" s="403">
        <v>0</v>
      </c>
      <c r="AS7" s="403">
        <v>0</v>
      </c>
      <c r="AT7" s="403">
        <v>0</v>
      </c>
      <c r="AU7" s="403">
        <v>0</v>
      </c>
      <c r="AV7" s="403">
        <v>0</v>
      </c>
      <c r="AW7" s="403">
        <v>0</v>
      </c>
      <c r="AX7" s="403">
        <v>0</v>
      </c>
      <c r="AY7" s="403">
        <v>0</v>
      </c>
      <c r="AZ7" s="403">
        <v>0</v>
      </c>
      <c r="BA7" s="403">
        <v>0</v>
      </c>
      <c r="BB7" s="403">
        <v>0</v>
      </c>
      <c r="BC7" s="403">
        <v>0</v>
      </c>
      <c r="BD7" s="403">
        <v>0</v>
      </c>
      <c r="BE7" s="403">
        <v>0</v>
      </c>
      <c r="BF7" s="403">
        <v>0</v>
      </c>
      <c r="BG7" s="403">
        <v>0</v>
      </c>
      <c r="BH7" s="403">
        <v>0</v>
      </c>
      <c r="BI7" s="403">
        <v>0</v>
      </c>
      <c r="BJ7" s="403">
        <v>0</v>
      </c>
      <c r="BK7" s="403">
        <v>0</v>
      </c>
      <c r="BL7" s="403">
        <v>0</v>
      </c>
      <c r="BM7" s="403">
        <v>0</v>
      </c>
    </row>
    <row r="8" spans="1:65" ht="15.6" customHeight="1" x14ac:dyDescent="0.25">
      <c r="A8" s="874"/>
      <c r="B8" s="660" t="str" cm="1">
        <f t="array" ref="B8:B27">TRANSPOSE('Project Model'!$E$2:$X$2)</f>
        <v>Not tied to a module</v>
      </c>
      <c r="C8" s="465">
        <v>2</v>
      </c>
      <c r="D8" s="413">
        <v>18229.166666666664</v>
      </c>
      <c r="E8" s="413">
        <v>143000</v>
      </c>
      <c r="F8" s="480">
        <v>0</v>
      </c>
      <c r="G8" s="485">
        <v>-50000</v>
      </c>
      <c r="H8" s="261">
        <v>2</v>
      </c>
      <c r="I8" s="476">
        <v>242</v>
      </c>
      <c r="K8" s="430" t="str">
        <f t="shared" ref="K8:K27" si="0">B8</f>
        <v>Not tied to a module</v>
      </c>
      <c r="L8" s="506" t="s">
        <v>27</v>
      </c>
      <c r="M8" s="499">
        <f t="shared" ref="M8:M27" si="1">MAX(0,MIN($M$4,$I8)-MAX($M$3,$H8))/12*$G8</f>
        <v>-29166.666666666668</v>
      </c>
      <c r="N8" s="414">
        <v>-50000</v>
      </c>
      <c r="O8" s="414">
        <v>-50000</v>
      </c>
      <c r="P8" s="414">
        <v>-50000</v>
      </c>
      <c r="Q8" s="414">
        <v>-50000</v>
      </c>
      <c r="R8" s="414">
        <v>-50000</v>
      </c>
      <c r="S8" s="414">
        <v>-50000</v>
      </c>
      <c r="T8" s="414">
        <v>-50000</v>
      </c>
      <c r="U8" s="414">
        <v>-50000</v>
      </c>
      <c r="V8" s="414">
        <v>-50000</v>
      </c>
      <c r="W8" s="414">
        <v>-50000</v>
      </c>
      <c r="X8" s="414">
        <v>-50000</v>
      </c>
      <c r="Y8" s="414">
        <v>-50000</v>
      </c>
      <c r="Z8" s="414">
        <v>-50000</v>
      </c>
      <c r="AA8" s="414">
        <v>-50000</v>
      </c>
      <c r="AB8" s="414">
        <v>-50000</v>
      </c>
      <c r="AC8" s="414">
        <v>-50000</v>
      </c>
      <c r="AD8" s="414">
        <v>-50000</v>
      </c>
      <c r="AE8" s="414">
        <v>-50000</v>
      </c>
      <c r="AF8" s="414">
        <v>-50000</v>
      </c>
      <c r="AG8" s="414">
        <v>-20833.333333333336</v>
      </c>
      <c r="AH8" s="414">
        <v>0</v>
      </c>
      <c r="AI8" s="414">
        <v>0</v>
      </c>
      <c r="AJ8" s="414">
        <v>0</v>
      </c>
      <c r="AK8" s="414">
        <v>0</v>
      </c>
      <c r="AL8" s="414">
        <v>0</v>
      </c>
      <c r="AM8" s="414">
        <v>0</v>
      </c>
      <c r="AN8" s="414">
        <v>0</v>
      </c>
      <c r="AO8" s="414">
        <v>0</v>
      </c>
      <c r="AP8" s="414">
        <v>0</v>
      </c>
      <c r="AQ8" s="414">
        <v>0</v>
      </c>
      <c r="AR8" s="414">
        <v>0</v>
      </c>
      <c r="AS8" s="414">
        <v>0</v>
      </c>
      <c r="AT8" s="414">
        <v>0</v>
      </c>
      <c r="AU8" s="414">
        <v>0</v>
      </c>
      <c r="AV8" s="414">
        <v>0</v>
      </c>
      <c r="AW8" s="414">
        <v>0</v>
      </c>
      <c r="AX8" s="414">
        <v>0</v>
      </c>
      <c r="AY8" s="414">
        <v>0</v>
      </c>
      <c r="AZ8" s="414">
        <v>0</v>
      </c>
      <c r="BA8" s="414">
        <v>0</v>
      </c>
      <c r="BB8" s="414">
        <v>0</v>
      </c>
      <c r="BC8" s="414">
        <v>0</v>
      </c>
      <c r="BD8" s="414">
        <v>0</v>
      </c>
      <c r="BE8" s="414">
        <v>0</v>
      </c>
      <c r="BF8" s="414">
        <v>0</v>
      </c>
      <c r="BG8" s="414">
        <v>0</v>
      </c>
      <c r="BH8" s="414">
        <v>0</v>
      </c>
      <c r="BI8" s="414">
        <v>0</v>
      </c>
      <c r="BJ8" s="414">
        <v>0</v>
      </c>
      <c r="BK8" s="414">
        <v>0</v>
      </c>
      <c r="BL8" s="414">
        <v>0</v>
      </c>
      <c r="BM8" s="414">
        <v>0</v>
      </c>
    </row>
    <row r="9" spans="1:65" ht="15.75" x14ac:dyDescent="0.25">
      <c r="A9" s="874"/>
      <c r="B9" s="661" t="str">
        <v>FEED and approvals</v>
      </c>
      <c r="C9" s="477">
        <v>6</v>
      </c>
      <c r="D9" s="11">
        <v>18229.166666666664</v>
      </c>
      <c r="E9" s="11">
        <v>110000</v>
      </c>
      <c r="F9" s="481">
        <v>0</v>
      </c>
      <c r="G9" s="486">
        <v>0</v>
      </c>
      <c r="H9" s="262">
        <v>6</v>
      </c>
      <c r="I9" s="478">
        <v>246</v>
      </c>
      <c r="K9" s="429" t="str">
        <f t="shared" si="0"/>
        <v>FEED and approvals</v>
      </c>
      <c r="L9" s="507" t="s">
        <v>27</v>
      </c>
      <c r="M9" s="397">
        <f t="shared" si="1"/>
        <v>0</v>
      </c>
      <c r="N9" s="11">
        <v>0</v>
      </c>
      <c r="O9" s="11">
        <v>0</v>
      </c>
      <c r="P9" s="11">
        <v>0</v>
      </c>
      <c r="Q9" s="11">
        <v>0</v>
      </c>
      <c r="R9" s="11">
        <v>0</v>
      </c>
      <c r="S9" s="11">
        <v>0</v>
      </c>
      <c r="T9" s="11">
        <v>0</v>
      </c>
      <c r="U9" s="11">
        <v>0</v>
      </c>
      <c r="V9" s="11">
        <v>0</v>
      </c>
      <c r="W9" s="11">
        <v>0</v>
      </c>
      <c r="X9" s="11">
        <v>0</v>
      </c>
      <c r="Y9" s="11">
        <v>0</v>
      </c>
      <c r="Z9" s="11">
        <v>0</v>
      </c>
      <c r="AA9" s="11">
        <v>0</v>
      </c>
      <c r="AB9" s="11">
        <v>0</v>
      </c>
      <c r="AC9" s="11">
        <v>0</v>
      </c>
      <c r="AD9" s="11">
        <v>0</v>
      </c>
      <c r="AE9" s="11">
        <v>0</v>
      </c>
      <c r="AF9" s="11">
        <v>0</v>
      </c>
      <c r="AG9" s="11">
        <v>0</v>
      </c>
      <c r="AH9" s="11">
        <v>0</v>
      </c>
      <c r="AI9" s="11">
        <v>0</v>
      </c>
      <c r="AJ9" s="11">
        <v>0</v>
      </c>
      <c r="AK9" s="11">
        <v>0</v>
      </c>
      <c r="AL9" s="11">
        <v>0</v>
      </c>
      <c r="AM9" s="11">
        <v>0</v>
      </c>
      <c r="AN9" s="11">
        <v>0</v>
      </c>
      <c r="AO9" s="11">
        <v>0</v>
      </c>
      <c r="AP9" s="11">
        <v>0</v>
      </c>
      <c r="AQ9" s="11">
        <v>0</v>
      </c>
      <c r="AR9" s="11">
        <v>0</v>
      </c>
      <c r="AS9" s="11">
        <v>0</v>
      </c>
      <c r="AT9" s="11">
        <v>0</v>
      </c>
      <c r="AU9" s="11">
        <v>0</v>
      </c>
      <c r="AV9" s="11">
        <v>0</v>
      </c>
      <c r="AW9" s="11">
        <v>0</v>
      </c>
      <c r="AX9" s="11">
        <v>0</v>
      </c>
      <c r="AY9" s="11">
        <v>0</v>
      </c>
      <c r="AZ9" s="11">
        <v>0</v>
      </c>
      <c r="BA9" s="11">
        <v>0</v>
      </c>
      <c r="BB9" s="11">
        <v>0</v>
      </c>
      <c r="BC9" s="11">
        <v>0</v>
      </c>
      <c r="BD9" s="11">
        <v>0</v>
      </c>
      <c r="BE9" s="11">
        <v>0</v>
      </c>
      <c r="BF9" s="11">
        <v>0</v>
      </c>
      <c r="BG9" s="11">
        <v>0</v>
      </c>
      <c r="BH9" s="11">
        <v>0</v>
      </c>
      <c r="BI9" s="11">
        <v>0</v>
      </c>
      <c r="BJ9" s="11">
        <v>0</v>
      </c>
      <c r="BK9" s="11">
        <v>0</v>
      </c>
      <c r="BL9" s="11">
        <v>0</v>
      </c>
      <c r="BM9" s="11">
        <v>0</v>
      </c>
    </row>
    <row r="10" spans="1:65" ht="15.75" x14ac:dyDescent="0.25">
      <c r="A10" s="874"/>
      <c r="B10" s="661" t="str">
        <v>Solar North SAT</v>
      </c>
      <c r="C10" s="477">
        <v>6</v>
      </c>
      <c r="D10" s="11">
        <v>492187.5</v>
      </c>
      <c r="E10" s="11">
        <v>3267000</v>
      </c>
      <c r="F10" s="481">
        <v>1000000</v>
      </c>
      <c r="G10" s="486">
        <v>449900</v>
      </c>
      <c r="H10" s="262">
        <v>6</v>
      </c>
      <c r="I10" s="478">
        <v>246</v>
      </c>
      <c r="K10" s="429" t="str">
        <f t="shared" si="0"/>
        <v>Solar North SAT</v>
      </c>
      <c r="L10" s="507" t="s">
        <v>27</v>
      </c>
      <c r="M10" s="397">
        <f t="shared" si="1"/>
        <v>112475</v>
      </c>
      <c r="N10" s="11">
        <v>444209.44049691915</v>
      </c>
      <c r="O10" s="11">
        <v>438589.2929691766</v>
      </c>
      <c r="P10" s="11">
        <v>433038.68617620843</v>
      </c>
      <c r="Q10" s="11">
        <v>427556.75965772074</v>
      </c>
      <c r="R10" s="11">
        <v>422142.66360030061</v>
      </c>
      <c r="S10" s="11">
        <v>416795.55870567705</v>
      </c>
      <c r="T10" s="11">
        <v>411514.61606061226</v>
      </c>
      <c r="U10" s="11">
        <v>406299.01700840273</v>
      </c>
      <c r="V10" s="11">
        <v>401147.95302197011</v>
      </c>
      <c r="W10" s="11">
        <v>396060.6255785228</v>
      </c>
      <c r="X10" s="11">
        <v>391036.24603576818</v>
      </c>
      <c r="Y10" s="11">
        <v>386074.03550965653</v>
      </c>
      <c r="Z10" s="11">
        <v>381173.2247536378</v>
      </c>
      <c r="AA10" s="11">
        <v>376333.0540394116</v>
      </c>
      <c r="AB10" s="11">
        <v>371552.77303915448</v>
      </c>
      <c r="AC10" s="11">
        <v>366831.64070920274</v>
      </c>
      <c r="AD10" s="11">
        <v>362168.92517517513</v>
      </c>
      <c r="AE10" s="11">
        <v>357563.90361851727</v>
      </c>
      <c r="AF10" s="11">
        <v>353015.8621644493</v>
      </c>
      <c r="AG10" s="11">
        <v>261393.07182847557</v>
      </c>
      <c r="AH10" s="11">
        <v>0</v>
      </c>
      <c r="AI10" s="11">
        <v>0</v>
      </c>
      <c r="AJ10" s="11">
        <v>0</v>
      </c>
      <c r="AK10" s="11">
        <v>0</v>
      </c>
      <c r="AL10" s="11">
        <v>0</v>
      </c>
      <c r="AM10" s="11">
        <v>0</v>
      </c>
      <c r="AN10" s="11">
        <v>0</v>
      </c>
      <c r="AO10" s="11">
        <v>0</v>
      </c>
      <c r="AP10" s="11">
        <v>0</v>
      </c>
      <c r="AQ10" s="11">
        <v>0</v>
      </c>
      <c r="AR10" s="11">
        <v>0</v>
      </c>
      <c r="AS10" s="11">
        <v>0</v>
      </c>
      <c r="AT10" s="11">
        <v>0</v>
      </c>
      <c r="AU10" s="11">
        <v>0</v>
      </c>
      <c r="AV10" s="11">
        <v>0</v>
      </c>
      <c r="AW10" s="11">
        <v>0</v>
      </c>
      <c r="AX10" s="11">
        <v>0</v>
      </c>
      <c r="AY10" s="11">
        <v>0</v>
      </c>
      <c r="AZ10" s="11">
        <v>0</v>
      </c>
      <c r="BA10" s="11">
        <v>0</v>
      </c>
      <c r="BB10" s="11">
        <v>0</v>
      </c>
      <c r="BC10" s="11">
        <v>0</v>
      </c>
      <c r="BD10" s="11">
        <v>0</v>
      </c>
      <c r="BE10" s="11">
        <v>0</v>
      </c>
      <c r="BF10" s="11">
        <v>0</v>
      </c>
      <c r="BG10" s="11">
        <v>0</v>
      </c>
      <c r="BH10" s="11">
        <v>0</v>
      </c>
      <c r="BI10" s="11">
        <v>0</v>
      </c>
      <c r="BJ10" s="11">
        <v>0</v>
      </c>
      <c r="BK10" s="11">
        <v>0</v>
      </c>
      <c r="BL10" s="11">
        <v>0</v>
      </c>
      <c r="BM10" s="11">
        <v>0</v>
      </c>
    </row>
    <row r="11" spans="1:65" ht="15.75" x14ac:dyDescent="0.25">
      <c r="A11" s="874"/>
      <c r="B11" s="661" t="str">
        <v>Solar East/West</v>
      </c>
      <c r="C11" s="408">
        <v>7</v>
      </c>
      <c r="D11" s="11">
        <v>492187.5</v>
      </c>
      <c r="E11" s="11">
        <v>3201000</v>
      </c>
      <c r="F11" s="481">
        <v>0</v>
      </c>
      <c r="G11" s="486">
        <v>349524.00000000006</v>
      </c>
      <c r="H11" s="262">
        <v>7</v>
      </c>
      <c r="I11" s="478">
        <v>247</v>
      </c>
      <c r="K11" s="429" t="str">
        <f t="shared" si="0"/>
        <v>Solar East/West</v>
      </c>
      <c r="L11" s="507" t="s">
        <v>27</v>
      </c>
      <c r="M11" s="397">
        <f t="shared" si="1"/>
        <v>58254.000000000007</v>
      </c>
      <c r="N11" s="11">
        <v>345199.17477765854</v>
      </c>
      <c r="O11" s="11">
        <v>340927.86265657423</v>
      </c>
      <c r="P11" s="11">
        <v>336709.40149391838</v>
      </c>
      <c r="Q11" s="11">
        <v>332543.13733986777</v>
      </c>
      <c r="R11" s="11">
        <v>328428.42433622846</v>
      </c>
      <c r="S11" s="11">
        <v>324364.6246163146</v>
      </c>
      <c r="T11" s="11">
        <v>320351.10820606531</v>
      </c>
      <c r="U11" s="11">
        <v>316387.25292638608</v>
      </c>
      <c r="V11" s="11">
        <v>312472.44429669721</v>
      </c>
      <c r="W11" s="11">
        <v>308606.07543967734</v>
      </c>
      <c r="X11" s="11">
        <v>304787.54698718386</v>
      </c>
      <c r="Y11" s="11">
        <v>301016.26698733901</v>
      </c>
      <c r="Z11" s="11">
        <v>297291.65081276471</v>
      </c>
      <c r="AA11" s="11">
        <v>293613.12106995285</v>
      </c>
      <c r="AB11" s="11">
        <v>289980.10750975739</v>
      </c>
      <c r="AC11" s="11">
        <v>286392.04693899408</v>
      </c>
      <c r="AD11" s="11">
        <v>282848.38313313312</v>
      </c>
      <c r="AE11" s="11">
        <v>279348.56675007311</v>
      </c>
      <c r="AF11" s="11">
        <v>275892.05524498143</v>
      </c>
      <c r="AG11" s="11">
        <v>227065.26065515715</v>
      </c>
      <c r="AH11" s="11">
        <v>0</v>
      </c>
      <c r="AI11" s="11">
        <v>0</v>
      </c>
      <c r="AJ11" s="11">
        <v>0</v>
      </c>
      <c r="AK11" s="11">
        <v>0</v>
      </c>
      <c r="AL11" s="11">
        <v>0</v>
      </c>
      <c r="AM11" s="11">
        <v>0</v>
      </c>
      <c r="AN11" s="11">
        <v>0</v>
      </c>
      <c r="AO11" s="11">
        <v>0</v>
      </c>
      <c r="AP11" s="11">
        <v>0</v>
      </c>
      <c r="AQ11" s="11">
        <v>0</v>
      </c>
      <c r="AR11" s="11">
        <v>0</v>
      </c>
      <c r="AS11" s="11">
        <v>0</v>
      </c>
      <c r="AT11" s="11">
        <v>0</v>
      </c>
      <c r="AU11" s="11">
        <v>0</v>
      </c>
      <c r="AV11" s="11">
        <v>0</v>
      </c>
      <c r="AW11" s="11">
        <v>0</v>
      </c>
      <c r="AX11" s="11">
        <v>0</v>
      </c>
      <c r="AY11" s="11">
        <v>0</v>
      </c>
      <c r="AZ11" s="11">
        <v>0</v>
      </c>
      <c r="BA11" s="11">
        <v>0</v>
      </c>
      <c r="BB11" s="11">
        <v>0</v>
      </c>
      <c r="BC11" s="11">
        <v>0</v>
      </c>
      <c r="BD11" s="11">
        <v>0</v>
      </c>
      <c r="BE11" s="11">
        <v>0</v>
      </c>
      <c r="BF11" s="11">
        <v>0</v>
      </c>
      <c r="BG11" s="11">
        <v>0</v>
      </c>
      <c r="BH11" s="11">
        <v>0</v>
      </c>
      <c r="BI11" s="11">
        <v>0</v>
      </c>
      <c r="BJ11" s="11">
        <v>0</v>
      </c>
      <c r="BK11" s="11">
        <v>0</v>
      </c>
      <c r="BL11" s="11">
        <v>0</v>
      </c>
      <c r="BM11" s="11">
        <v>0</v>
      </c>
    </row>
    <row r="12" spans="1:65" ht="15.75" x14ac:dyDescent="0.25">
      <c r="A12" s="874"/>
      <c r="B12" s="661" t="str">
        <v>Wind farm</v>
      </c>
      <c r="C12" s="408">
        <v>6</v>
      </c>
      <c r="D12" s="11">
        <v>993489.58333333337</v>
      </c>
      <c r="E12" s="11">
        <v>6077500</v>
      </c>
      <c r="F12" s="481">
        <v>500000</v>
      </c>
      <c r="G12" s="486">
        <v>593200</v>
      </c>
      <c r="H12" s="262">
        <v>6</v>
      </c>
      <c r="I12" s="478">
        <v>246</v>
      </c>
      <c r="K12" s="429" t="str">
        <f t="shared" si="0"/>
        <v>Wind farm</v>
      </c>
      <c r="L12" s="507" t="s">
        <v>27</v>
      </c>
      <c r="M12" s="397">
        <f t="shared" si="1"/>
        <v>148300</v>
      </c>
      <c r="N12" s="11">
        <v>590134</v>
      </c>
      <c r="O12" s="11">
        <v>587083.32999999996</v>
      </c>
      <c r="P12" s="11">
        <v>584047.91335000005</v>
      </c>
      <c r="Q12" s="11">
        <v>581027.67378325004</v>
      </c>
      <c r="R12" s="11">
        <v>578022.5354143338</v>
      </c>
      <c r="S12" s="11">
        <v>575032.4227372621</v>
      </c>
      <c r="T12" s="11">
        <v>572057.26062357565</v>
      </c>
      <c r="U12" s="11">
        <v>569096.9743204579</v>
      </c>
      <c r="V12" s="11">
        <v>566151.48944885563</v>
      </c>
      <c r="W12" s="11">
        <v>563220.73200161115</v>
      </c>
      <c r="X12" s="11">
        <v>560304.62834160321</v>
      </c>
      <c r="Y12" s="11">
        <v>557403.1051998951</v>
      </c>
      <c r="Z12" s="11">
        <v>554516.08967389562</v>
      </c>
      <c r="AA12" s="11">
        <v>551643.50922552624</v>
      </c>
      <c r="AB12" s="11">
        <v>548785.29167939862</v>
      </c>
      <c r="AC12" s="11">
        <v>545941.36522100167</v>
      </c>
      <c r="AD12" s="11">
        <v>543111.65839489654</v>
      </c>
      <c r="AE12" s="11">
        <v>540296.10010292218</v>
      </c>
      <c r="AF12" s="11">
        <v>537494.61960240745</v>
      </c>
      <c r="AG12" s="11">
        <v>401030.35987829661</v>
      </c>
      <c r="AH12" s="11">
        <v>0</v>
      </c>
      <c r="AI12" s="11">
        <v>0</v>
      </c>
      <c r="AJ12" s="11">
        <v>0</v>
      </c>
      <c r="AK12" s="11">
        <v>0</v>
      </c>
      <c r="AL12" s="11">
        <v>0</v>
      </c>
      <c r="AM12" s="11">
        <v>0</v>
      </c>
      <c r="AN12" s="11">
        <v>0</v>
      </c>
      <c r="AO12" s="11">
        <v>0</v>
      </c>
      <c r="AP12" s="11">
        <v>0</v>
      </c>
      <c r="AQ12" s="11">
        <v>0</v>
      </c>
      <c r="AR12" s="11">
        <v>0</v>
      </c>
      <c r="AS12" s="11">
        <v>0</v>
      </c>
      <c r="AT12" s="11">
        <v>0</v>
      </c>
      <c r="AU12" s="11">
        <v>0</v>
      </c>
      <c r="AV12" s="11">
        <v>0</v>
      </c>
      <c r="AW12" s="11">
        <v>0</v>
      </c>
      <c r="AX12" s="11">
        <v>0</v>
      </c>
      <c r="AY12" s="11">
        <v>0</v>
      </c>
      <c r="AZ12" s="11">
        <v>0</v>
      </c>
      <c r="BA12" s="11">
        <v>0</v>
      </c>
      <c r="BB12" s="11">
        <v>0</v>
      </c>
      <c r="BC12" s="11">
        <v>0</v>
      </c>
      <c r="BD12" s="11">
        <v>0</v>
      </c>
      <c r="BE12" s="11">
        <v>0</v>
      </c>
      <c r="BF12" s="11">
        <v>0</v>
      </c>
      <c r="BG12" s="11">
        <v>0</v>
      </c>
      <c r="BH12" s="11">
        <v>0</v>
      </c>
      <c r="BI12" s="11">
        <v>0</v>
      </c>
      <c r="BJ12" s="11">
        <v>0</v>
      </c>
      <c r="BK12" s="11">
        <v>0</v>
      </c>
      <c r="BL12" s="11">
        <v>0</v>
      </c>
      <c r="BM12" s="11">
        <v>0</v>
      </c>
    </row>
    <row r="13" spans="1:65" ht="15.75" x14ac:dyDescent="0.25">
      <c r="A13" s="874"/>
      <c r="B13" s="661" t="str">
        <v>Biogas generator</v>
      </c>
      <c r="C13" s="408">
        <v>12</v>
      </c>
      <c r="D13" s="11">
        <v>200520.83333333331</v>
      </c>
      <c r="E13" s="11">
        <v>1210000</v>
      </c>
      <c r="F13" s="481">
        <v>0</v>
      </c>
      <c r="G13" s="486">
        <v>183056.8</v>
      </c>
      <c r="H13" s="262">
        <v>12</v>
      </c>
      <c r="I13" s="478">
        <v>252</v>
      </c>
      <c r="K13" s="429" t="str">
        <f t="shared" si="0"/>
        <v>Biogas generator</v>
      </c>
      <c r="L13" s="507" t="s">
        <v>27</v>
      </c>
      <c r="M13" s="397">
        <f t="shared" si="1"/>
        <v>0</v>
      </c>
      <c r="N13" s="11">
        <v>137292.59999999998</v>
      </c>
      <c r="O13" s="11">
        <v>183056.8</v>
      </c>
      <c r="P13" s="11">
        <v>183056.8</v>
      </c>
      <c r="Q13" s="11">
        <v>183056.8</v>
      </c>
      <c r="R13" s="11">
        <v>183056.8</v>
      </c>
      <c r="S13" s="11">
        <v>183056.8</v>
      </c>
      <c r="T13" s="11">
        <v>183056.8</v>
      </c>
      <c r="U13" s="11">
        <v>183056.8</v>
      </c>
      <c r="V13" s="11">
        <v>183056.8</v>
      </c>
      <c r="W13" s="11">
        <v>183056.8</v>
      </c>
      <c r="X13" s="11">
        <v>183056.8</v>
      </c>
      <c r="Y13" s="11">
        <v>183056.8</v>
      </c>
      <c r="Z13" s="11">
        <v>183056.8</v>
      </c>
      <c r="AA13" s="11">
        <v>183056.8</v>
      </c>
      <c r="AB13" s="11">
        <v>183056.8</v>
      </c>
      <c r="AC13" s="11">
        <v>183056.8</v>
      </c>
      <c r="AD13" s="11">
        <v>183056.8</v>
      </c>
      <c r="AE13" s="11">
        <v>183056.8</v>
      </c>
      <c r="AF13" s="11">
        <v>183056.8</v>
      </c>
      <c r="AG13" s="11">
        <v>183056.8</v>
      </c>
      <c r="AH13" s="11">
        <v>45764.2</v>
      </c>
      <c r="AI13" s="11">
        <v>0</v>
      </c>
      <c r="AJ13" s="11">
        <v>0</v>
      </c>
      <c r="AK13" s="11">
        <v>0</v>
      </c>
      <c r="AL13" s="11">
        <v>0</v>
      </c>
      <c r="AM13" s="11">
        <v>0</v>
      </c>
      <c r="AN13" s="11">
        <v>0</v>
      </c>
      <c r="AO13" s="11">
        <v>0</v>
      </c>
      <c r="AP13" s="11">
        <v>0</v>
      </c>
      <c r="AQ13" s="11">
        <v>0</v>
      </c>
      <c r="AR13" s="11">
        <v>0</v>
      </c>
      <c r="AS13" s="11">
        <v>0</v>
      </c>
      <c r="AT13" s="11">
        <v>0</v>
      </c>
      <c r="AU13" s="11">
        <v>0</v>
      </c>
      <c r="AV13" s="11">
        <v>0</v>
      </c>
      <c r="AW13" s="11">
        <v>0</v>
      </c>
      <c r="AX13" s="11">
        <v>0</v>
      </c>
      <c r="AY13" s="11">
        <v>0</v>
      </c>
      <c r="AZ13" s="11">
        <v>0</v>
      </c>
      <c r="BA13" s="11">
        <v>0</v>
      </c>
      <c r="BB13" s="11">
        <v>0</v>
      </c>
      <c r="BC13" s="11">
        <v>0</v>
      </c>
      <c r="BD13" s="11">
        <v>0</v>
      </c>
      <c r="BE13" s="11">
        <v>0</v>
      </c>
      <c r="BF13" s="11">
        <v>0</v>
      </c>
      <c r="BG13" s="11">
        <v>0</v>
      </c>
      <c r="BH13" s="11">
        <v>0</v>
      </c>
      <c r="BI13" s="11">
        <v>0</v>
      </c>
      <c r="BJ13" s="11">
        <v>0</v>
      </c>
      <c r="BK13" s="11">
        <v>0</v>
      </c>
      <c r="BL13" s="11">
        <v>0</v>
      </c>
      <c r="BM13" s="11">
        <v>0</v>
      </c>
    </row>
    <row r="14" spans="1:65" ht="15.75" x14ac:dyDescent="0.25">
      <c r="A14" s="874"/>
      <c r="B14" s="661" t="str">
        <v>Battery system</v>
      </c>
      <c r="C14" s="408">
        <v>4</v>
      </c>
      <c r="D14" s="11">
        <v>1285156.25</v>
      </c>
      <c r="E14" s="11">
        <v>7050000</v>
      </c>
      <c r="F14" s="481">
        <v>0</v>
      </c>
      <c r="G14" s="486">
        <v>999500</v>
      </c>
      <c r="H14" s="262">
        <v>18</v>
      </c>
      <c r="I14" s="478">
        <v>138</v>
      </c>
      <c r="K14" s="429" t="str">
        <f t="shared" si="0"/>
        <v>Battery system</v>
      </c>
      <c r="L14" s="507" t="s">
        <v>27</v>
      </c>
      <c r="M14" s="397">
        <f t="shared" si="1"/>
        <v>0</v>
      </c>
      <c r="N14" s="11">
        <v>245890.32312736684</v>
      </c>
      <c r="O14" s="11">
        <v>967845.63650208665</v>
      </c>
      <c r="P14" s="11">
        <v>952349.65396260843</v>
      </c>
      <c r="Q14" s="11">
        <v>937070.02178717824</v>
      </c>
      <c r="R14" s="11">
        <v>922003.47083999729</v>
      </c>
      <c r="S14" s="11">
        <v>907146.78502682806</v>
      </c>
      <c r="T14" s="11">
        <v>892496.80038503488</v>
      </c>
      <c r="U14" s="11">
        <v>878050.40418986022</v>
      </c>
      <c r="V14" s="11">
        <v>863804.53407663619</v>
      </c>
      <c r="W14" s="11">
        <v>849756.17717864155</v>
      </c>
      <c r="X14" s="11">
        <v>427412.07805443933</v>
      </c>
      <c r="Y14" s="11">
        <v>0</v>
      </c>
      <c r="Z14" s="11">
        <v>0</v>
      </c>
      <c r="AA14" s="11">
        <v>0</v>
      </c>
      <c r="AB14" s="11">
        <v>0</v>
      </c>
      <c r="AC14" s="11">
        <v>0</v>
      </c>
      <c r="AD14" s="11">
        <v>0</v>
      </c>
      <c r="AE14" s="11">
        <v>0</v>
      </c>
      <c r="AF14" s="11">
        <v>0</v>
      </c>
      <c r="AG14" s="11">
        <v>0</v>
      </c>
      <c r="AH14" s="11">
        <v>0</v>
      </c>
      <c r="AI14" s="11">
        <v>0</v>
      </c>
      <c r="AJ14" s="11">
        <v>0</v>
      </c>
      <c r="AK14" s="11">
        <v>0</v>
      </c>
      <c r="AL14" s="11">
        <v>0</v>
      </c>
      <c r="AM14" s="11">
        <v>0</v>
      </c>
      <c r="AN14" s="11">
        <v>0</v>
      </c>
      <c r="AO14" s="11">
        <v>0</v>
      </c>
      <c r="AP14" s="11">
        <v>0</v>
      </c>
      <c r="AQ14" s="11">
        <v>0</v>
      </c>
      <c r="AR14" s="11">
        <v>0</v>
      </c>
      <c r="AS14" s="11">
        <v>0</v>
      </c>
      <c r="AT14" s="11">
        <v>0</v>
      </c>
      <c r="AU14" s="11">
        <v>0</v>
      </c>
      <c r="AV14" s="11">
        <v>0</v>
      </c>
      <c r="AW14" s="11">
        <v>0</v>
      </c>
      <c r="AX14" s="11">
        <v>0</v>
      </c>
      <c r="AY14" s="11">
        <v>0</v>
      </c>
      <c r="AZ14" s="11">
        <v>0</v>
      </c>
      <c r="BA14" s="11">
        <v>0</v>
      </c>
      <c r="BB14" s="11">
        <v>0</v>
      </c>
      <c r="BC14" s="11">
        <v>0</v>
      </c>
      <c r="BD14" s="11">
        <v>0</v>
      </c>
      <c r="BE14" s="11">
        <v>0</v>
      </c>
      <c r="BF14" s="11">
        <v>0</v>
      </c>
      <c r="BG14" s="11">
        <v>0</v>
      </c>
      <c r="BH14" s="11">
        <v>0</v>
      </c>
      <c r="BI14" s="11">
        <v>0</v>
      </c>
      <c r="BJ14" s="11">
        <v>0</v>
      </c>
      <c r="BK14" s="11">
        <v>0</v>
      </c>
      <c r="BL14" s="11">
        <v>0</v>
      </c>
      <c r="BM14" s="11">
        <v>0</v>
      </c>
    </row>
    <row r="15" spans="1:65" ht="15.75" x14ac:dyDescent="0.25">
      <c r="A15" s="874"/>
      <c r="B15" s="661" t="str">
        <v>Battery Refresh</v>
      </c>
      <c r="C15" s="408">
        <v>138</v>
      </c>
      <c r="D15" s="11">
        <v>0</v>
      </c>
      <c r="E15" s="11">
        <v>10000000</v>
      </c>
      <c r="F15" s="481">
        <v>0</v>
      </c>
      <c r="G15" s="486">
        <v>671000</v>
      </c>
      <c r="H15" s="262">
        <v>138</v>
      </c>
      <c r="I15" s="478">
        <v>318</v>
      </c>
      <c r="K15" s="429" t="str">
        <f t="shared" si="0"/>
        <v>Battery Refresh</v>
      </c>
      <c r="L15" s="507" t="s">
        <v>27</v>
      </c>
      <c r="M15" s="397">
        <f t="shared" si="1"/>
        <v>0</v>
      </c>
      <c r="N15" s="11">
        <v>0</v>
      </c>
      <c r="O15" s="11">
        <v>0</v>
      </c>
      <c r="P15" s="11">
        <v>0</v>
      </c>
      <c r="Q15" s="11">
        <v>0</v>
      </c>
      <c r="R15" s="11">
        <v>0</v>
      </c>
      <c r="S15" s="11">
        <v>0</v>
      </c>
      <c r="T15" s="11">
        <v>0</v>
      </c>
      <c r="U15" s="11">
        <v>0</v>
      </c>
      <c r="V15" s="11">
        <v>0</v>
      </c>
      <c r="W15" s="11">
        <v>0</v>
      </c>
      <c r="X15" s="11">
        <v>224595.69268481311</v>
      </c>
      <c r="Y15" s="11">
        <v>883533.71388442814</v>
      </c>
      <c r="Z15" s="11">
        <v>868895.96631494653</v>
      </c>
      <c r="AA15" s="11">
        <v>854466.2765508024</v>
      </c>
      <c r="AB15" s="11">
        <v>840241.4466598276</v>
      </c>
      <c r="AC15" s="11">
        <v>826218.33132904558</v>
      </c>
      <c r="AD15" s="11">
        <v>63792.453720916063</v>
      </c>
      <c r="AE15" s="11">
        <v>58230.550209837907</v>
      </c>
      <c r="AF15" s="11">
        <v>52774.300960928784</v>
      </c>
      <c r="AG15" s="11">
        <v>47421.698959307454</v>
      </c>
      <c r="AH15" s="11">
        <v>42170.775315471285</v>
      </c>
      <c r="AI15" s="11">
        <v>37019.598541064013</v>
      </c>
      <c r="AJ15" s="11">
        <v>31966.273838401219</v>
      </c>
      <c r="AK15" s="11">
        <v>27008.942403492343</v>
      </c>
      <c r="AL15" s="11">
        <v>22145.780742302071</v>
      </c>
      <c r="AM15" s="11">
        <v>-171750</v>
      </c>
      <c r="AN15" s="11">
        <v>0</v>
      </c>
      <c r="AO15" s="11">
        <v>0</v>
      </c>
      <c r="AP15" s="11">
        <v>0</v>
      </c>
      <c r="AQ15" s="11">
        <v>0</v>
      </c>
      <c r="AR15" s="11">
        <v>0</v>
      </c>
      <c r="AS15" s="11">
        <v>0</v>
      </c>
      <c r="AT15" s="11">
        <v>0</v>
      </c>
      <c r="AU15" s="11">
        <v>0</v>
      </c>
      <c r="AV15" s="11">
        <v>0</v>
      </c>
      <c r="AW15" s="11">
        <v>0</v>
      </c>
      <c r="AX15" s="11">
        <v>0</v>
      </c>
      <c r="AY15" s="11">
        <v>0</v>
      </c>
      <c r="AZ15" s="11">
        <v>0</v>
      </c>
      <c r="BA15" s="11">
        <v>0</v>
      </c>
      <c r="BB15" s="11">
        <v>0</v>
      </c>
      <c r="BC15" s="11">
        <v>0</v>
      </c>
      <c r="BD15" s="11">
        <v>0</v>
      </c>
      <c r="BE15" s="11">
        <v>0</v>
      </c>
      <c r="BF15" s="11">
        <v>0</v>
      </c>
      <c r="BG15" s="11">
        <v>0</v>
      </c>
      <c r="BH15" s="11">
        <v>0</v>
      </c>
      <c r="BI15" s="11">
        <v>0</v>
      </c>
      <c r="BJ15" s="11">
        <v>0</v>
      </c>
      <c r="BK15" s="11">
        <v>0</v>
      </c>
      <c r="BL15" s="11">
        <v>0</v>
      </c>
      <c r="BM15" s="11">
        <v>0</v>
      </c>
    </row>
    <row r="16" spans="1:65" ht="15.75" x14ac:dyDescent="0.25">
      <c r="A16" s="874"/>
      <c r="B16" s="661" t="str">
        <v>Inverter refresh</v>
      </c>
      <c r="C16" s="408">
        <v>120</v>
      </c>
      <c r="D16" s="11">
        <v>0</v>
      </c>
      <c r="E16" s="11">
        <v>201000</v>
      </c>
      <c r="F16" s="481">
        <v>0</v>
      </c>
      <c r="G16" s="486">
        <v>0</v>
      </c>
      <c r="H16" s="262">
        <v>120</v>
      </c>
      <c r="I16" s="478">
        <v>240</v>
      </c>
      <c r="K16" s="429"/>
      <c r="L16" s="507" t="s">
        <v>27</v>
      </c>
      <c r="M16" s="397">
        <f t="shared" si="1"/>
        <v>0</v>
      </c>
      <c r="N16" s="403">
        <v>0</v>
      </c>
      <c r="O16" s="403">
        <v>0</v>
      </c>
      <c r="P16" s="403">
        <v>0</v>
      </c>
      <c r="Q16" s="403">
        <v>0</v>
      </c>
      <c r="R16" s="403">
        <v>0</v>
      </c>
      <c r="S16" s="403">
        <v>0</v>
      </c>
      <c r="T16" s="403">
        <v>0</v>
      </c>
      <c r="U16" s="403">
        <v>0</v>
      </c>
      <c r="V16" s="403">
        <v>0</v>
      </c>
      <c r="W16" s="403">
        <v>0</v>
      </c>
      <c r="X16" s="403">
        <v>0</v>
      </c>
      <c r="Y16" s="403">
        <v>0</v>
      </c>
      <c r="Z16" s="403">
        <v>0</v>
      </c>
      <c r="AA16" s="403">
        <v>0</v>
      </c>
      <c r="AB16" s="403">
        <v>0</v>
      </c>
      <c r="AC16" s="403">
        <v>0</v>
      </c>
      <c r="AD16" s="403">
        <v>0</v>
      </c>
      <c r="AE16" s="403">
        <v>0</v>
      </c>
      <c r="AF16" s="403">
        <v>0</v>
      </c>
      <c r="AG16" s="403">
        <v>0</v>
      </c>
      <c r="AH16" s="403">
        <v>0</v>
      </c>
      <c r="AI16" s="403">
        <v>0</v>
      </c>
      <c r="AJ16" s="403">
        <v>0</v>
      </c>
      <c r="AK16" s="403">
        <v>0</v>
      </c>
      <c r="AL16" s="403">
        <v>0</v>
      </c>
      <c r="AM16" s="403">
        <v>0</v>
      </c>
      <c r="AN16" s="403">
        <v>0</v>
      </c>
      <c r="AO16" s="403">
        <v>0</v>
      </c>
      <c r="AP16" s="403">
        <v>0</v>
      </c>
      <c r="AQ16" s="403">
        <v>0</v>
      </c>
      <c r="AR16" s="403">
        <v>0</v>
      </c>
      <c r="AS16" s="403">
        <v>0</v>
      </c>
      <c r="AT16" s="403">
        <v>0</v>
      </c>
      <c r="AU16" s="403">
        <v>0</v>
      </c>
      <c r="AV16" s="403">
        <v>0</v>
      </c>
      <c r="AW16" s="403">
        <v>0</v>
      </c>
      <c r="AX16" s="403">
        <v>0</v>
      </c>
      <c r="AY16" s="403">
        <v>0</v>
      </c>
      <c r="AZ16" s="403">
        <v>0</v>
      </c>
      <c r="BA16" s="403">
        <v>0</v>
      </c>
      <c r="BB16" s="403">
        <v>0</v>
      </c>
      <c r="BC16" s="403">
        <v>0</v>
      </c>
      <c r="BD16" s="403">
        <v>0</v>
      </c>
      <c r="BE16" s="403">
        <v>0</v>
      </c>
      <c r="BF16" s="403">
        <v>0</v>
      </c>
      <c r="BG16" s="403">
        <v>0</v>
      </c>
      <c r="BH16" s="403">
        <v>0</v>
      </c>
      <c r="BI16" s="403">
        <v>0</v>
      </c>
      <c r="BJ16" s="403">
        <v>0</v>
      </c>
      <c r="BK16" s="403">
        <v>0</v>
      </c>
      <c r="BL16" s="403">
        <v>0</v>
      </c>
      <c r="BM16" s="403">
        <v>0</v>
      </c>
    </row>
    <row r="17" spans="1:65" ht="15.75" x14ac:dyDescent="0.25">
      <c r="A17" s="874"/>
      <c r="B17" s="661" t="str">
        <v>Unused module</v>
      </c>
      <c r="C17" s="408">
        <v>0</v>
      </c>
      <c r="D17" s="11">
        <v>0</v>
      </c>
      <c r="E17" s="11">
        <v>0</v>
      </c>
      <c r="F17" s="481">
        <v>0</v>
      </c>
      <c r="G17" s="486">
        <v>0</v>
      </c>
      <c r="H17" s="262">
        <v>0</v>
      </c>
      <c r="I17" s="478">
        <v>240</v>
      </c>
      <c r="K17" s="429"/>
      <c r="L17" s="507" t="s">
        <v>27</v>
      </c>
      <c r="M17" s="397">
        <f t="shared" si="1"/>
        <v>0</v>
      </c>
      <c r="N17" s="403">
        <v>0</v>
      </c>
      <c r="O17" s="403">
        <v>0</v>
      </c>
      <c r="P17" s="403">
        <v>0</v>
      </c>
      <c r="Q17" s="403">
        <v>0</v>
      </c>
      <c r="R17" s="403">
        <v>0</v>
      </c>
      <c r="S17" s="403">
        <v>0</v>
      </c>
      <c r="T17" s="403">
        <v>0</v>
      </c>
      <c r="U17" s="403">
        <v>0</v>
      </c>
      <c r="V17" s="403">
        <v>0</v>
      </c>
      <c r="W17" s="403">
        <v>0</v>
      </c>
      <c r="X17" s="403">
        <v>0</v>
      </c>
      <c r="Y17" s="403">
        <v>0</v>
      </c>
      <c r="Z17" s="403">
        <v>0</v>
      </c>
      <c r="AA17" s="403">
        <v>0</v>
      </c>
      <c r="AB17" s="403">
        <v>0</v>
      </c>
      <c r="AC17" s="403">
        <v>0</v>
      </c>
      <c r="AD17" s="403">
        <v>0</v>
      </c>
      <c r="AE17" s="403">
        <v>0</v>
      </c>
      <c r="AF17" s="403">
        <v>0</v>
      </c>
      <c r="AG17" s="403">
        <v>0</v>
      </c>
      <c r="AH17" s="403">
        <v>0</v>
      </c>
      <c r="AI17" s="403">
        <v>0</v>
      </c>
      <c r="AJ17" s="403">
        <v>0</v>
      </c>
      <c r="AK17" s="403">
        <v>0</v>
      </c>
      <c r="AL17" s="403">
        <v>0</v>
      </c>
      <c r="AM17" s="403">
        <v>0</v>
      </c>
      <c r="AN17" s="403">
        <v>0</v>
      </c>
      <c r="AO17" s="403">
        <v>0</v>
      </c>
      <c r="AP17" s="403">
        <v>0</v>
      </c>
      <c r="AQ17" s="403">
        <v>0</v>
      </c>
      <c r="AR17" s="403">
        <v>0</v>
      </c>
      <c r="AS17" s="403">
        <v>0</v>
      </c>
      <c r="AT17" s="403">
        <v>0</v>
      </c>
      <c r="AU17" s="403">
        <v>0</v>
      </c>
      <c r="AV17" s="403">
        <v>0</v>
      </c>
      <c r="AW17" s="403">
        <v>0</v>
      </c>
      <c r="AX17" s="403">
        <v>0</v>
      </c>
      <c r="AY17" s="403">
        <v>0</v>
      </c>
      <c r="AZ17" s="403">
        <v>0</v>
      </c>
      <c r="BA17" s="403">
        <v>0</v>
      </c>
      <c r="BB17" s="403">
        <v>0</v>
      </c>
      <c r="BC17" s="403">
        <v>0</v>
      </c>
      <c r="BD17" s="403">
        <v>0</v>
      </c>
      <c r="BE17" s="403">
        <v>0</v>
      </c>
      <c r="BF17" s="403">
        <v>0</v>
      </c>
      <c r="BG17" s="403">
        <v>0</v>
      </c>
      <c r="BH17" s="403">
        <v>0</v>
      </c>
      <c r="BI17" s="403">
        <v>0</v>
      </c>
      <c r="BJ17" s="403">
        <v>0</v>
      </c>
      <c r="BK17" s="403">
        <v>0</v>
      </c>
      <c r="BL17" s="403">
        <v>0</v>
      </c>
      <c r="BM17" s="403">
        <v>0</v>
      </c>
    </row>
    <row r="18" spans="1:65" ht="15.75" x14ac:dyDescent="0.25">
      <c r="A18" s="874"/>
      <c r="B18" s="661" t="str">
        <v>Unused module</v>
      </c>
      <c r="C18" s="408">
        <v>0</v>
      </c>
      <c r="D18" s="11">
        <v>0</v>
      </c>
      <c r="E18" s="11">
        <v>0</v>
      </c>
      <c r="F18" s="481">
        <v>0</v>
      </c>
      <c r="G18" s="486">
        <v>0</v>
      </c>
      <c r="H18" s="262">
        <v>0</v>
      </c>
      <c r="I18" s="478">
        <v>240</v>
      </c>
      <c r="K18" s="429"/>
      <c r="L18" s="507" t="s">
        <v>27</v>
      </c>
      <c r="M18" s="397">
        <f t="shared" si="1"/>
        <v>0</v>
      </c>
      <c r="N18" s="403">
        <v>0</v>
      </c>
      <c r="O18" s="403">
        <v>0</v>
      </c>
      <c r="P18" s="403">
        <v>0</v>
      </c>
      <c r="Q18" s="403">
        <v>0</v>
      </c>
      <c r="R18" s="403">
        <v>0</v>
      </c>
      <c r="S18" s="403">
        <v>0</v>
      </c>
      <c r="T18" s="403">
        <v>0</v>
      </c>
      <c r="U18" s="403">
        <v>0</v>
      </c>
      <c r="V18" s="403">
        <v>0</v>
      </c>
      <c r="W18" s="403">
        <v>0</v>
      </c>
      <c r="X18" s="403">
        <v>0</v>
      </c>
      <c r="Y18" s="403">
        <v>0</v>
      </c>
      <c r="Z18" s="403">
        <v>0</v>
      </c>
      <c r="AA18" s="403">
        <v>0</v>
      </c>
      <c r="AB18" s="403">
        <v>0</v>
      </c>
      <c r="AC18" s="403">
        <v>0</v>
      </c>
      <c r="AD18" s="403">
        <v>0</v>
      </c>
      <c r="AE18" s="403">
        <v>0</v>
      </c>
      <c r="AF18" s="403">
        <v>0</v>
      </c>
      <c r="AG18" s="403">
        <v>0</v>
      </c>
      <c r="AH18" s="403">
        <v>0</v>
      </c>
      <c r="AI18" s="403">
        <v>0</v>
      </c>
      <c r="AJ18" s="403">
        <v>0</v>
      </c>
      <c r="AK18" s="403">
        <v>0</v>
      </c>
      <c r="AL18" s="403">
        <v>0</v>
      </c>
      <c r="AM18" s="403">
        <v>0</v>
      </c>
      <c r="AN18" s="403">
        <v>0</v>
      </c>
      <c r="AO18" s="403">
        <v>0</v>
      </c>
      <c r="AP18" s="403">
        <v>0</v>
      </c>
      <c r="AQ18" s="403">
        <v>0</v>
      </c>
      <c r="AR18" s="403">
        <v>0</v>
      </c>
      <c r="AS18" s="403">
        <v>0</v>
      </c>
      <c r="AT18" s="403">
        <v>0</v>
      </c>
      <c r="AU18" s="403">
        <v>0</v>
      </c>
      <c r="AV18" s="403">
        <v>0</v>
      </c>
      <c r="AW18" s="403">
        <v>0</v>
      </c>
      <c r="AX18" s="403">
        <v>0</v>
      </c>
      <c r="AY18" s="403">
        <v>0</v>
      </c>
      <c r="AZ18" s="403">
        <v>0</v>
      </c>
      <c r="BA18" s="403">
        <v>0</v>
      </c>
      <c r="BB18" s="403">
        <v>0</v>
      </c>
      <c r="BC18" s="403">
        <v>0</v>
      </c>
      <c r="BD18" s="403">
        <v>0</v>
      </c>
      <c r="BE18" s="403">
        <v>0</v>
      </c>
      <c r="BF18" s="403">
        <v>0</v>
      </c>
      <c r="BG18" s="403">
        <v>0</v>
      </c>
      <c r="BH18" s="403">
        <v>0</v>
      </c>
      <c r="BI18" s="403">
        <v>0</v>
      </c>
      <c r="BJ18" s="403">
        <v>0</v>
      </c>
      <c r="BK18" s="403">
        <v>0</v>
      </c>
      <c r="BL18" s="403">
        <v>0</v>
      </c>
      <c r="BM18" s="403">
        <v>0</v>
      </c>
    </row>
    <row r="19" spans="1:65" ht="15.75" x14ac:dyDescent="0.25">
      <c r="A19" s="874"/>
      <c r="B19" s="661" t="str">
        <v>Unused module</v>
      </c>
      <c r="C19" s="408">
        <v>0</v>
      </c>
      <c r="D19" s="11">
        <v>0</v>
      </c>
      <c r="E19" s="11">
        <v>0</v>
      </c>
      <c r="F19" s="481">
        <v>0</v>
      </c>
      <c r="G19" s="486">
        <v>0</v>
      </c>
      <c r="H19" s="262">
        <v>0</v>
      </c>
      <c r="I19" s="478">
        <v>240</v>
      </c>
      <c r="K19" s="429"/>
      <c r="L19" s="507" t="s">
        <v>27</v>
      </c>
      <c r="M19" s="397">
        <f t="shared" si="1"/>
        <v>0</v>
      </c>
      <c r="N19" s="403">
        <v>0</v>
      </c>
      <c r="O19" s="403">
        <v>0</v>
      </c>
      <c r="P19" s="403">
        <v>0</v>
      </c>
      <c r="Q19" s="403">
        <v>0</v>
      </c>
      <c r="R19" s="403">
        <v>0</v>
      </c>
      <c r="S19" s="403">
        <v>0</v>
      </c>
      <c r="T19" s="403">
        <v>0</v>
      </c>
      <c r="U19" s="403">
        <v>0</v>
      </c>
      <c r="V19" s="403">
        <v>0</v>
      </c>
      <c r="W19" s="403">
        <v>0</v>
      </c>
      <c r="X19" s="403">
        <v>0</v>
      </c>
      <c r="Y19" s="403">
        <v>0</v>
      </c>
      <c r="Z19" s="403">
        <v>0</v>
      </c>
      <c r="AA19" s="403">
        <v>0</v>
      </c>
      <c r="AB19" s="403">
        <v>0</v>
      </c>
      <c r="AC19" s="403">
        <v>0</v>
      </c>
      <c r="AD19" s="403">
        <v>0</v>
      </c>
      <c r="AE19" s="403">
        <v>0</v>
      </c>
      <c r="AF19" s="403">
        <v>0</v>
      </c>
      <c r="AG19" s="403">
        <v>0</v>
      </c>
      <c r="AH19" s="403">
        <v>0</v>
      </c>
      <c r="AI19" s="403">
        <v>0</v>
      </c>
      <c r="AJ19" s="403">
        <v>0</v>
      </c>
      <c r="AK19" s="403">
        <v>0</v>
      </c>
      <c r="AL19" s="403">
        <v>0</v>
      </c>
      <c r="AM19" s="403">
        <v>0</v>
      </c>
      <c r="AN19" s="403">
        <v>0</v>
      </c>
      <c r="AO19" s="403">
        <v>0</v>
      </c>
      <c r="AP19" s="403">
        <v>0</v>
      </c>
      <c r="AQ19" s="403">
        <v>0</v>
      </c>
      <c r="AR19" s="403">
        <v>0</v>
      </c>
      <c r="AS19" s="403">
        <v>0</v>
      </c>
      <c r="AT19" s="403">
        <v>0</v>
      </c>
      <c r="AU19" s="403">
        <v>0</v>
      </c>
      <c r="AV19" s="403">
        <v>0</v>
      </c>
      <c r="AW19" s="403">
        <v>0</v>
      </c>
      <c r="AX19" s="403">
        <v>0</v>
      </c>
      <c r="AY19" s="403">
        <v>0</v>
      </c>
      <c r="AZ19" s="403">
        <v>0</v>
      </c>
      <c r="BA19" s="403">
        <v>0</v>
      </c>
      <c r="BB19" s="403">
        <v>0</v>
      </c>
      <c r="BC19" s="403">
        <v>0</v>
      </c>
      <c r="BD19" s="403">
        <v>0</v>
      </c>
      <c r="BE19" s="403">
        <v>0</v>
      </c>
      <c r="BF19" s="403">
        <v>0</v>
      </c>
      <c r="BG19" s="403">
        <v>0</v>
      </c>
      <c r="BH19" s="403">
        <v>0</v>
      </c>
      <c r="BI19" s="403">
        <v>0</v>
      </c>
      <c r="BJ19" s="403">
        <v>0</v>
      </c>
      <c r="BK19" s="403">
        <v>0</v>
      </c>
      <c r="BL19" s="403">
        <v>0</v>
      </c>
      <c r="BM19" s="403">
        <v>0</v>
      </c>
    </row>
    <row r="20" spans="1:65" ht="15.75" x14ac:dyDescent="0.25">
      <c r="A20" s="874"/>
      <c r="B20" s="661" t="str">
        <v>Unused module</v>
      </c>
      <c r="C20" s="408">
        <v>0</v>
      </c>
      <c r="D20" s="11">
        <v>0</v>
      </c>
      <c r="E20" s="11">
        <v>0</v>
      </c>
      <c r="F20" s="481">
        <v>0</v>
      </c>
      <c r="G20" s="486">
        <v>0</v>
      </c>
      <c r="H20" s="262">
        <v>0</v>
      </c>
      <c r="I20" s="478">
        <v>240</v>
      </c>
      <c r="K20" s="429"/>
      <c r="L20" s="507" t="s">
        <v>27</v>
      </c>
      <c r="M20" s="397">
        <f t="shared" si="1"/>
        <v>0</v>
      </c>
      <c r="N20" s="403">
        <v>0</v>
      </c>
      <c r="O20" s="403">
        <v>0</v>
      </c>
      <c r="P20" s="403">
        <v>0</v>
      </c>
      <c r="Q20" s="403">
        <v>0</v>
      </c>
      <c r="R20" s="403">
        <v>0</v>
      </c>
      <c r="S20" s="403">
        <v>0</v>
      </c>
      <c r="T20" s="403">
        <v>0</v>
      </c>
      <c r="U20" s="403">
        <v>0</v>
      </c>
      <c r="V20" s="403">
        <v>0</v>
      </c>
      <c r="W20" s="403">
        <v>0</v>
      </c>
      <c r="X20" s="403">
        <v>0</v>
      </c>
      <c r="Y20" s="403">
        <v>0</v>
      </c>
      <c r="Z20" s="403">
        <v>0</v>
      </c>
      <c r="AA20" s="403">
        <v>0</v>
      </c>
      <c r="AB20" s="403">
        <v>0</v>
      </c>
      <c r="AC20" s="403">
        <v>0</v>
      </c>
      <c r="AD20" s="403">
        <v>0</v>
      </c>
      <c r="AE20" s="403">
        <v>0</v>
      </c>
      <c r="AF20" s="403">
        <v>0</v>
      </c>
      <c r="AG20" s="403">
        <v>0</v>
      </c>
      <c r="AH20" s="403">
        <v>0</v>
      </c>
      <c r="AI20" s="403">
        <v>0</v>
      </c>
      <c r="AJ20" s="403">
        <v>0</v>
      </c>
      <c r="AK20" s="403">
        <v>0</v>
      </c>
      <c r="AL20" s="403">
        <v>0</v>
      </c>
      <c r="AM20" s="403">
        <v>0</v>
      </c>
      <c r="AN20" s="403">
        <v>0</v>
      </c>
      <c r="AO20" s="403">
        <v>0</v>
      </c>
      <c r="AP20" s="403">
        <v>0</v>
      </c>
      <c r="AQ20" s="403">
        <v>0</v>
      </c>
      <c r="AR20" s="403">
        <v>0</v>
      </c>
      <c r="AS20" s="403">
        <v>0</v>
      </c>
      <c r="AT20" s="403">
        <v>0</v>
      </c>
      <c r="AU20" s="403">
        <v>0</v>
      </c>
      <c r="AV20" s="403">
        <v>0</v>
      </c>
      <c r="AW20" s="403">
        <v>0</v>
      </c>
      <c r="AX20" s="403">
        <v>0</v>
      </c>
      <c r="AY20" s="403">
        <v>0</v>
      </c>
      <c r="AZ20" s="403">
        <v>0</v>
      </c>
      <c r="BA20" s="403">
        <v>0</v>
      </c>
      <c r="BB20" s="403">
        <v>0</v>
      </c>
      <c r="BC20" s="403">
        <v>0</v>
      </c>
      <c r="BD20" s="403">
        <v>0</v>
      </c>
      <c r="BE20" s="403">
        <v>0</v>
      </c>
      <c r="BF20" s="403">
        <v>0</v>
      </c>
      <c r="BG20" s="403">
        <v>0</v>
      </c>
      <c r="BH20" s="403">
        <v>0</v>
      </c>
      <c r="BI20" s="403">
        <v>0</v>
      </c>
      <c r="BJ20" s="403">
        <v>0</v>
      </c>
      <c r="BK20" s="403">
        <v>0</v>
      </c>
      <c r="BL20" s="403">
        <v>0</v>
      </c>
      <c r="BM20" s="403">
        <v>0</v>
      </c>
    </row>
    <row r="21" spans="1:65" ht="15.75" x14ac:dyDescent="0.25">
      <c r="A21" s="874"/>
      <c r="B21" s="661" t="str">
        <v>Unused module</v>
      </c>
      <c r="C21" s="408">
        <v>0</v>
      </c>
      <c r="D21" s="11">
        <v>0</v>
      </c>
      <c r="E21" s="11">
        <v>0</v>
      </c>
      <c r="F21" s="481">
        <v>0</v>
      </c>
      <c r="G21" s="486">
        <v>0</v>
      </c>
      <c r="H21" s="262">
        <v>0</v>
      </c>
      <c r="I21" s="478">
        <v>240</v>
      </c>
      <c r="K21" s="429"/>
      <c r="L21" s="507" t="s">
        <v>27</v>
      </c>
      <c r="M21" s="397">
        <f t="shared" si="1"/>
        <v>0</v>
      </c>
      <c r="N21" s="403">
        <v>0</v>
      </c>
      <c r="O21" s="403">
        <v>0</v>
      </c>
      <c r="P21" s="403">
        <v>0</v>
      </c>
      <c r="Q21" s="403">
        <v>0</v>
      </c>
      <c r="R21" s="403">
        <v>0</v>
      </c>
      <c r="S21" s="403">
        <v>0</v>
      </c>
      <c r="T21" s="403">
        <v>0</v>
      </c>
      <c r="U21" s="403">
        <v>0</v>
      </c>
      <c r="V21" s="403">
        <v>0</v>
      </c>
      <c r="W21" s="403">
        <v>0</v>
      </c>
      <c r="X21" s="403">
        <v>0</v>
      </c>
      <c r="Y21" s="403">
        <v>0</v>
      </c>
      <c r="Z21" s="403">
        <v>0</v>
      </c>
      <c r="AA21" s="403">
        <v>0</v>
      </c>
      <c r="AB21" s="403">
        <v>0</v>
      </c>
      <c r="AC21" s="403">
        <v>0</v>
      </c>
      <c r="AD21" s="403">
        <v>0</v>
      </c>
      <c r="AE21" s="403">
        <v>0</v>
      </c>
      <c r="AF21" s="403">
        <v>0</v>
      </c>
      <c r="AG21" s="403">
        <v>0</v>
      </c>
      <c r="AH21" s="403">
        <v>0</v>
      </c>
      <c r="AI21" s="403">
        <v>0</v>
      </c>
      <c r="AJ21" s="403">
        <v>0</v>
      </c>
      <c r="AK21" s="403">
        <v>0</v>
      </c>
      <c r="AL21" s="403">
        <v>0</v>
      </c>
      <c r="AM21" s="403">
        <v>0</v>
      </c>
      <c r="AN21" s="403">
        <v>0</v>
      </c>
      <c r="AO21" s="403">
        <v>0</v>
      </c>
      <c r="AP21" s="403">
        <v>0</v>
      </c>
      <c r="AQ21" s="403">
        <v>0</v>
      </c>
      <c r="AR21" s="403">
        <v>0</v>
      </c>
      <c r="AS21" s="403">
        <v>0</v>
      </c>
      <c r="AT21" s="403">
        <v>0</v>
      </c>
      <c r="AU21" s="403">
        <v>0</v>
      </c>
      <c r="AV21" s="403">
        <v>0</v>
      </c>
      <c r="AW21" s="403">
        <v>0</v>
      </c>
      <c r="AX21" s="403">
        <v>0</v>
      </c>
      <c r="AY21" s="403">
        <v>0</v>
      </c>
      <c r="AZ21" s="403">
        <v>0</v>
      </c>
      <c r="BA21" s="403">
        <v>0</v>
      </c>
      <c r="BB21" s="403">
        <v>0</v>
      </c>
      <c r="BC21" s="403">
        <v>0</v>
      </c>
      <c r="BD21" s="403">
        <v>0</v>
      </c>
      <c r="BE21" s="403">
        <v>0</v>
      </c>
      <c r="BF21" s="403">
        <v>0</v>
      </c>
      <c r="BG21" s="403">
        <v>0</v>
      </c>
      <c r="BH21" s="403">
        <v>0</v>
      </c>
      <c r="BI21" s="403">
        <v>0</v>
      </c>
      <c r="BJ21" s="403">
        <v>0</v>
      </c>
      <c r="BK21" s="403">
        <v>0</v>
      </c>
      <c r="BL21" s="403">
        <v>0</v>
      </c>
      <c r="BM21" s="403">
        <v>0</v>
      </c>
    </row>
    <row r="22" spans="1:65" ht="15.75" x14ac:dyDescent="0.25">
      <c r="A22" s="874"/>
      <c r="B22" s="661" t="str">
        <v>Unused module</v>
      </c>
      <c r="C22" s="408">
        <v>0</v>
      </c>
      <c r="D22" s="11">
        <v>0</v>
      </c>
      <c r="E22" s="11">
        <v>0</v>
      </c>
      <c r="F22" s="481">
        <v>0</v>
      </c>
      <c r="G22" s="486">
        <v>0</v>
      </c>
      <c r="H22" s="262">
        <v>0</v>
      </c>
      <c r="I22" s="478">
        <v>240</v>
      </c>
      <c r="K22" s="429"/>
      <c r="L22" s="507" t="s">
        <v>27</v>
      </c>
      <c r="M22" s="397">
        <f t="shared" si="1"/>
        <v>0</v>
      </c>
      <c r="N22" s="403">
        <v>0</v>
      </c>
      <c r="O22" s="403">
        <v>0</v>
      </c>
      <c r="P22" s="403">
        <v>0</v>
      </c>
      <c r="Q22" s="403">
        <v>0</v>
      </c>
      <c r="R22" s="403">
        <v>0</v>
      </c>
      <c r="S22" s="403">
        <v>0</v>
      </c>
      <c r="T22" s="403">
        <v>0</v>
      </c>
      <c r="U22" s="403">
        <v>0</v>
      </c>
      <c r="V22" s="403">
        <v>0</v>
      </c>
      <c r="W22" s="403">
        <v>0</v>
      </c>
      <c r="X22" s="403">
        <v>0</v>
      </c>
      <c r="Y22" s="403">
        <v>0</v>
      </c>
      <c r="Z22" s="403">
        <v>0</v>
      </c>
      <c r="AA22" s="403">
        <v>0</v>
      </c>
      <c r="AB22" s="403">
        <v>0</v>
      </c>
      <c r="AC22" s="403">
        <v>0</v>
      </c>
      <c r="AD22" s="403">
        <v>0</v>
      </c>
      <c r="AE22" s="403">
        <v>0</v>
      </c>
      <c r="AF22" s="403">
        <v>0</v>
      </c>
      <c r="AG22" s="403">
        <v>0</v>
      </c>
      <c r="AH22" s="403">
        <v>0</v>
      </c>
      <c r="AI22" s="403">
        <v>0</v>
      </c>
      <c r="AJ22" s="403">
        <v>0</v>
      </c>
      <c r="AK22" s="403">
        <v>0</v>
      </c>
      <c r="AL22" s="403">
        <v>0</v>
      </c>
      <c r="AM22" s="403">
        <v>0</v>
      </c>
      <c r="AN22" s="403">
        <v>0</v>
      </c>
      <c r="AO22" s="403">
        <v>0</v>
      </c>
      <c r="AP22" s="403">
        <v>0</v>
      </c>
      <c r="AQ22" s="403">
        <v>0</v>
      </c>
      <c r="AR22" s="403">
        <v>0</v>
      </c>
      <c r="AS22" s="403">
        <v>0</v>
      </c>
      <c r="AT22" s="403">
        <v>0</v>
      </c>
      <c r="AU22" s="403">
        <v>0</v>
      </c>
      <c r="AV22" s="403">
        <v>0</v>
      </c>
      <c r="AW22" s="403">
        <v>0</v>
      </c>
      <c r="AX22" s="403">
        <v>0</v>
      </c>
      <c r="AY22" s="403">
        <v>0</v>
      </c>
      <c r="AZ22" s="403">
        <v>0</v>
      </c>
      <c r="BA22" s="403">
        <v>0</v>
      </c>
      <c r="BB22" s="403">
        <v>0</v>
      </c>
      <c r="BC22" s="403">
        <v>0</v>
      </c>
      <c r="BD22" s="403">
        <v>0</v>
      </c>
      <c r="BE22" s="403">
        <v>0</v>
      </c>
      <c r="BF22" s="403">
        <v>0</v>
      </c>
      <c r="BG22" s="403">
        <v>0</v>
      </c>
      <c r="BH22" s="403">
        <v>0</v>
      </c>
      <c r="BI22" s="403">
        <v>0</v>
      </c>
      <c r="BJ22" s="403">
        <v>0</v>
      </c>
      <c r="BK22" s="403">
        <v>0</v>
      </c>
      <c r="BL22" s="403">
        <v>0</v>
      </c>
      <c r="BM22" s="403">
        <v>0</v>
      </c>
    </row>
    <row r="23" spans="1:65" ht="15.75" x14ac:dyDescent="0.25">
      <c r="A23" s="874"/>
      <c r="B23" s="661" t="str">
        <v>Unused module</v>
      </c>
      <c r="C23" s="408">
        <v>0</v>
      </c>
      <c r="D23" s="11">
        <v>0</v>
      </c>
      <c r="E23" s="11">
        <v>0</v>
      </c>
      <c r="F23" s="481">
        <v>0</v>
      </c>
      <c r="G23" s="486">
        <v>0</v>
      </c>
      <c r="H23" s="262">
        <v>0</v>
      </c>
      <c r="I23" s="478">
        <v>240</v>
      </c>
      <c r="K23" s="429"/>
      <c r="L23" s="507" t="s">
        <v>27</v>
      </c>
      <c r="M23" s="397">
        <f t="shared" si="1"/>
        <v>0</v>
      </c>
      <c r="N23" s="403">
        <v>0</v>
      </c>
      <c r="O23" s="403">
        <v>0</v>
      </c>
      <c r="P23" s="403">
        <v>0</v>
      </c>
      <c r="Q23" s="403">
        <v>0</v>
      </c>
      <c r="R23" s="403">
        <v>0</v>
      </c>
      <c r="S23" s="403">
        <v>0</v>
      </c>
      <c r="T23" s="403">
        <v>0</v>
      </c>
      <c r="U23" s="403">
        <v>0</v>
      </c>
      <c r="V23" s="403">
        <v>0</v>
      </c>
      <c r="W23" s="403">
        <v>0</v>
      </c>
      <c r="X23" s="403">
        <v>0</v>
      </c>
      <c r="Y23" s="403">
        <v>0</v>
      </c>
      <c r="Z23" s="403">
        <v>0</v>
      </c>
      <c r="AA23" s="403">
        <v>0</v>
      </c>
      <c r="AB23" s="403">
        <v>0</v>
      </c>
      <c r="AC23" s="403">
        <v>0</v>
      </c>
      <c r="AD23" s="403">
        <v>0</v>
      </c>
      <c r="AE23" s="403">
        <v>0</v>
      </c>
      <c r="AF23" s="403">
        <v>0</v>
      </c>
      <c r="AG23" s="403">
        <v>0</v>
      </c>
      <c r="AH23" s="403">
        <v>0</v>
      </c>
      <c r="AI23" s="403">
        <v>0</v>
      </c>
      <c r="AJ23" s="403">
        <v>0</v>
      </c>
      <c r="AK23" s="403">
        <v>0</v>
      </c>
      <c r="AL23" s="403">
        <v>0</v>
      </c>
      <c r="AM23" s="403">
        <v>0</v>
      </c>
      <c r="AN23" s="403">
        <v>0</v>
      </c>
      <c r="AO23" s="403">
        <v>0</v>
      </c>
      <c r="AP23" s="403">
        <v>0</v>
      </c>
      <c r="AQ23" s="403">
        <v>0</v>
      </c>
      <c r="AR23" s="403">
        <v>0</v>
      </c>
      <c r="AS23" s="403">
        <v>0</v>
      </c>
      <c r="AT23" s="403">
        <v>0</v>
      </c>
      <c r="AU23" s="403">
        <v>0</v>
      </c>
      <c r="AV23" s="403">
        <v>0</v>
      </c>
      <c r="AW23" s="403">
        <v>0</v>
      </c>
      <c r="AX23" s="403">
        <v>0</v>
      </c>
      <c r="AY23" s="403">
        <v>0</v>
      </c>
      <c r="AZ23" s="403">
        <v>0</v>
      </c>
      <c r="BA23" s="403">
        <v>0</v>
      </c>
      <c r="BB23" s="403">
        <v>0</v>
      </c>
      <c r="BC23" s="403">
        <v>0</v>
      </c>
      <c r="BD23" s="403">
        <v>0</v>
      </c>
      <c r="BE23" s="403">
        <v>0</v>
      </c>
      <c r="BF23" s="403">
        <v>0</v>
      </c>
      <c r="BG23" s="403">
        <v>0</v>
      </c>
      <c r="BH23" s="403">
        <v>0</v>
      </c>
      <c r="BI23" s="403">
        <v>0</v>
      </c>
      <c r="BJ23" s="403">
        <v>0</v>
      </c>
      <c r="BK23" s="403">
        <v>0</v>
      </c>
      <c r="BL23" s="403">
        <v>0</v>
      </c>
      <c r="BM23" s="403">
        <v>0</v>
      </c>
    </row>
    <row r="24" spans="1:65" ht="15.75" x14ac:dyDescent="0.25">
      <c r="A24" s="874"/>
      <c r="B24" s="661" t="str">
        <v>Unused module</v>
      </c>
      <c r="C24" s="408">
        <v>0</v>
      </c>
      <c r="D24" s="11">
        <v>0</v>
      </c>
      <c r="E24" s="11">
        <v>0</v>
      </c>
      <c r="F24" s="481">
        <v>0</v>
      </c>
      <c r="G24" s="486">
        <v>0</v>
      </c>
      <c r="H24" s="262">
        <v>0</v>
      </c>
      <c r="I24" s="478">
        <v>240</v>
      </c>
      <c r="K24" s="429"/>
      <c r="L24" s="507" t="s">
        <v>27</v>
      </c>
      <c r="M24" s="397">
        <f t="shared" si="1"/>
        <v>0</v>
      </c>
      <c r="N24" s="403">
        <v>0</v>
      </c>
      <c r="O24" s="403">
        <v>0</v>
      </c>
      <c r="P24" s="403">
        <v>0</v>
      </c>
      <c r="Q24" s="403">
        <v>0</v>
      </c>
      <c r="R24" s="403">
        <v>0</v>
      </c>
      <c r="S24" s="403">
        <v>0</v>
      </c>
      <c r="T24" s="403">
        <v>0</v>
      </c>
      <c r="U24" s="403">
        <v>0</v>
      </c>
      <c r="V24" s="403">
        <v>0</v>
      </c>
      <c r="W24" s="403">
        <v>0</v>
      </c>
      <c r="X24" s="403">
        <v>0</v>
      </c>
      <c r="Y24" s="403">
        <v>0</v>
      </c>
      <c r="Z24" s="403">
        <v>0</v>
      </c>
      <c r="AA24" s="403">
        <v>0</v>
      </c>
      <c r="AB24" s="403">
        <v>0</v>
      </c>
      <c r="AC24" s="403">
        <v>0</v>
      </c>
      <c r="AD24" s="403">
        <v>0</v>
      </c>
      <c r="AE24" s="403">
        <v>0</v>
      </c>
      <c r="AF24" s="403">
        <v>0</v>
      </c>
      <c r="AG24" s="403">
        <v>0</v>
      </c>
      <c r="AH24" s="403">
        <v>0</v>
      </c>
      <c r="AI24" s="403">
        <v>0</v>
      </c>
      <c r="AJ24" s="403">
        <v>0</v>
      </c>
      <c r="AK24" s="403">
        <v>0</v>
      </c>
      <c r="AL24" s="403">
        <v>0</v>
      </c>
      <c r="AM24" s="403">
        <v>0</v>
      </c>
      <c r="AN24" s="403">
        <v>0</v>
      </c>
      <c r="AO24" s="403">
        <v>0</v>
      </c>
      <c r="AP24" s="403">
        <v>0</v>
      </c>
      <c r="AQ24" s="403">
        <v>0</v>
      </c>
      <c r="AR24" s="403">
        <v>0</v>
      </c>
      <c r="AS24" s="403">
        <v>0</v>
      </c>
      <c r="AT24" s="403">
        <v>0</v>
      </c>
      <c r="AU24" s="403">
        <v>0</v>
      </c>
      <c r="AV24" s="403">
        <v>0</v>
      </c>
      <c r="AW24" s="403">
        <v>0</v>
      </c>
      <c r="AX24" s="403">
        <v>0</v>
      </c>
      <c r="AY24" s="403">
        <v>0</v>
      </c>
      <c r="AZ24" s="403">
        <v>0</v>
      </c>
      <c r="BA24" s="403">
        <v>0</v>
      </c>
      <c r="BB24" s="403">
        <v>0</v>
      </c>
      <c r="BC24" s="403">
        <v>0</v>
      </c>
      <c r="BD24" s="403">
        <v>0</v>
      </c>
      <c r="BE24" s="403">
        <v>0</v>
      </c>
      <c r="BF24" s="403">
        <v>0</v>
      </c>
      <c r="BG24" s="403">
        <v>0</v>
      </c>
      <c r="BH24" s="403">
        <v>0</v>
      </c>
      <c r="BI24" s="403">
        <v>0</v>
      </c>
      <c r="BJ24" s="403">
        <v>0</v>
      </c>
      <c r="BK24" s="403">
        <v>0</v>
      </c>
      <c r="BL24" s="403">
        <v>0</v>
      </c>
      <c r="BM24" s="403">
        <v>0</v>
      </c>
    </row>
    <row r="25" spans="1:65" ht="15.75" x14ac:dyDescent="0.25">
      <c r="A25" s="874"/>
      <c r="B25" s="661" t="str">
        <v>Unused module</v>
      </c>
      <c r="C25" s="408">
        <v>0</v>
      </c>
      <c r="D25" s="11">
        <v>0</v>
      </c>
      <c r="E25" s="11">
        <v>0</v>
      </c>
      <c r="F25" s="481">
        <v>0</v>
      </c>
      <c r="G25" s="486">
        <v>0</v>
      </c>
      <c r="H25" s="262">
        <v>0</v>
      </c>
      <c r="I25" s="478">
        <v>240</v>
      </c>
      <c r="K25" s="429"/>
      <c r="L25" s="507" t="s">
        <v>27</v>
      </c>
      <c r="M25" s="397">
        <f t="shared" si="1"/>
        <v>0</v>
      </c>
      <c r="N25" s="403">
        <v>0</v>
      </c>
      <c r="O25" s="403">
        <v>0</v>
      </c>
      <c r="P25" s="403">
        <v>0</v>
      </c>
      <c r="Q25" s="403">
        <v>0</v>
      </c>
      <c r="R25" s="403">
        <v>0</v>
      </c>
      <c r="S25" s="403">
        <v>0</v>
      </c>
      <c r="T25" s="403">
        <v>0</v>
      </c>
      <c r="U25" s="403">
        <v>0</v>
      </c>
      <c r="V25" s="403">
        <v>0</v>
      </c>
      <c r="W25" s="403">
        <v>0</v>
      </c>
      <c r="X25" s="403">
        <v>0</v>
      </c>
      <c r="Y25" s="403">
        <v>0</v>
      </c>
      <c r="Z25" s="403">
        <v>0</v>
      </c>
      <c r="AA25" s="403">
        <v>0</v>
      </c>
      <c r="AB25" s="403">
        <v>0</v>
      </c>
      <c r="AC25" s="403">
        <v>0</v>
      </c>
      <c r="AD25" s="403">
        <v>0</v>
      </c>
      <c r="AE25" s="403">
        <v>0</v>
      </c>
      <c r="AF25" s="403">
        <v>0</v>
      </c>
      <c r="AG25" s="403">
        <v>0</v>
      </c>
      <c r="AH25" s="403">
        <v>0</v>
      </c>
      <c r="AI25" s="403">
        <v>0</v>
      </c>
      <c r="AJ25" s="403">
        <v>0</v>
      </c>
      <c r="AK25" s="403">
        <v>0</v>
      </c>
      <c r="AL25" s="403">
        <v>0</v>
      </c>
      <c r="AM25" s="403">
        <v>0</v>
      </c>
      <c r="AN25" s="403">
        <v>0</v>
      </c>
      <c r="AO25" s="403">
        <v>0</v>
      </c>
      <c r="AP25" s="403">
        <v>0</v>
      </c>
      <c r="AQ25" s="403">
        <v>0</v>
      </c>
      <c r="AR25" s="403">
        <v>0</v>
      </c>
      <c r="AS25" s="403">
        <v>0</v>
      </c>
      <c r="AT25" s="403">
        <v>0</v>
      </c>
      <c r="AU25" s="403">
        <v>0</v>
      </c>
      <c r="AV25" s="403">
        <v>0</v>
      </c>
      <c r="AW25" s="403">
        <v>0</v>
      </c>
      <c r="AX25" s="403">
        <v>0</v>
      </c>
      <c r="AY25" s="403">
        <v>0</v>
      </c>
      <c r="AZ25" s="403">
        <v>0</v>
      </c>
      <c r="BA25" s="403">
        <v>0</v>
      </c>
      <c r="BB25" s="403">
        <v>0</v>
      </c>
      <c r="BC25" s="403">
        <v>0</v>
      </c>
      <c r="BD25" s="403">
        <v>0</v>
      </c>
      <c r="BE25" s="403">
        <v>0</v>
      </c>
      <c r="BF25" s="403">
        <v>0</v>
      </c>
      <c r="BG25" s="403">
        <v>0</v>
      </c>
      <c r="BH25" s="403">
        <v>0</v>
      </c>
      <c r="BI25" s="403">
        <v>0</v>
      </c>
      <c r="BJ25" s="403">
        <v>0</v>
      </c>
      <c r="BK25" s="403">
        <v>0</v>
      </c>
      <c r="BL25" s="403">
        <v>0</v>
      </c>
      <c r="BM25" s="403">
        <v>0</v>
      </c>
    </row>
    <row r="26" spans="1:65" ht="16.5" thickBot="1" x14ac:dyDescent="0.3">
      <c r="A26" s="874"/>
      <c r="B26" s="661" t="str">
        <v>Unused module</v>
      </c>
      <c r="C26" s="408">
        <v>0</v>
      </c>
      <c r="D26" s="11">
        <v>0</v>
      </c>
      <c r="E26" s="11">
        <v>0</v>
      </c>
      <c r="F26" s="481">
        <v>0</v>
      </c>
      <c r="G26" s="486">
        <v>0</v>
      </c>
      <c r="H26" s="262">
        <v>0</v>
      </c>
      <c r="I26" s="478">
        <v>240</v>
      </c>
      <c r="K26" s="431" t="str">
        <f t="shared" si="0"/>
        <v>Unused module</v>
      </c>
      <c r="L26" s="509" t="s">
        <v>27</v>
      </c>
      <c r="M26" s="132">
        <f t="shared" si="1"/>
        <v>0</v>
      </c>
      <c r="N26" s="416">
        <v>0</v>
      </c>
      <c r="O26" s="416">
        <v>0</v>
      </c>
      <c r="P26" s="416">
        <v>0</v>
      </c>
      <c r="Q26" s="416">
        <v>0</v>
      </c>
      <c r="R26" s="416">
        <v>0</v>
      </c>
      <c r="S26" s="416">
        <v>0</v>
      </c>
      <c r="T26" s="416">
        <v>0</v>
      </c>
      <c r="U26" s="416">
        <v>0</v>
      </c>
      <c r="V26" s="416">
        <v>0</v>
      </c>
      <c r="W26" s="416">
        <v>0</v>
      </c>
      <c r="X26" s="416">
        <v>0</v>
      </c>
      <c r="Y26" s="416">
        <v>0</v>
      </c>
      <c r="Z26" s="416">
        <v>0</v>
      </c>
      <c r="AA26" s="416">
        <v>0</v>
      </c>
      <c r="AB26" s="416">
        <v>0</v>
      </c>
      <c r="AC26" s="416">
        <v>0</v>
      </c>
      <c r="AD26" s="416">
        <v>0</v>
      </c>
      <c r="AE26" s="416">
        <v>0</v>
      </c>
      <c r="AF26" s="416">
        <v>0</v>
      </c>
      <c r="AG26" s="416">
        <v>0</v>
      </c>
      <c r="AH26" s="416">
        <v>0</v>
      </c>
      <c r="AI26" s="416">
        <v>0</v>
      </c>
      <c r="AJ26" s="416">
        <v>0</v>
      </c>
      <c r="AK26" s="416">
        <v>0</v>
      </c>
      <c r="AL26" s="416">
        <v>0</v>
      </c>
      <c r="AM26" s="416">
        <v>0</v>
      </c>
      <c r="AN26" s="416">
        <v>0</v>
      </c>
      <c r="AO26" s="416">
        <v>0</v>
      </c>
      <c r="AP26" s="416">
        <v>0</v>
      </c>
      <c r="AQ26" s="416">
        <v>0</v>
      </c>
      <c r="AR26" s="416">
        <v>0</v>
      </c>
      <c r="AS26" s="416">
        <v>0</v>
      </c>
      <c r="AT26" s="416">
        <v>0</v>
      </c>
      <c r="AU26" s="416">
        <v>0</v>
      </c>
      <c r="AV26" s="416">
        <v>0</v>
      </c>
      <c r="AW26" s="416">
        <v>0</v>
      </c>
      <c r="AX26" s="416">
        <v>0</v>
      </c>
      <c r="AY26" s="416">
        <v>0</v>
      </c>
      <c r="AZ26" s="416">
        <v>0</v>
      </c>
      <c r="BA26" s="416">
        <v>0</v>
      </c>
      <c r="BB26" s="416">
        <v>0</v>
      </c>
      <c r="BC26" s="416">
        <v>0</v>
      </c>
      <c r="BD26" s="416">
        <v>0</v>
      </c>
      <c r="BE26" s="416">
        <v>0</v>
      </c>
      <c r="BF26" s="416">
        <v>0</v>
      </c>
      <c r="BG26" s="416">
        <v>0</v>
      </c>
      <c r="BH26" s="416">
        <v>0</v>
      </c>
      <c r="BI26" s="416">
        <v>0</v>
      </c>
      <c r="BJ26" s="416">
        <v>0</v>
      </c>
      <c r="BK26" s="416">
        <v>0</v>
      </c>
      <c r="BL26" s="416">
        <v>0</v>
      </c>
      <c r="BM26" s="416">
        <v>0</v>
      </c>
    </row>
    <row r="27" spans="1:65" ht="16.5" thickBot="1" x14ac:dyDescent="0.3">
      <c r="A27" s="875"/>
      <c r="B27" s="662" t="str">
        <v>Unused module</v>
      </c>
      <c r="C27" s="468">
        <v>0</v>
      </c>
      <c r="D27" s="416">
        <v>0</v>
      </c>
      <c r="E27" s="416">
        <v>0</v>
      </c>
      <c r="F27" s="482">
        <v>0</v>
      </c>
      <c r="G27" s="487">
        <v>0</v>
      </c>
      <c r="H27" s="498">
        <v>0</v>
      </c>
      <c r="I27" s="479">
        <v>240</v>
      </c>
      <c r="K27" s="510" t="str">
        <f t="shared" si="0"/>
        <v>Unused module</v>
      </c>
      <c r="L27" s="511" t="s">
        <v>27</v>
      </c>
      <c r="M27" s="501">
        <f t="shared" si="1"/>
        <v>0</v>
      </c>
      <c r="N27" s="425">
        <v>0</v>
      </c>
      <c r="O27" s="425">
        <v>0</v>
      </c>
      <c r="P27" s="425">
        <v>0</v>
      </c>
      <c r="Q27" s="425">
        <v>0</v>
      </c>
      <c r="R27" s="425">
        <v>0</v>
      </c>
      <c r="S27" s="425">
        <v>0</v>
      </c>
      <c r="T27" s="425">
        <v>0</v>
      </c>
      <c r="U27" s="425">
        <v>0</v>
      </c>
      <c r="V27" s="425">
        <v>0</v>
      </c>
      <c r="W27" s="425">
        <v>0</v>
      </c>
      <c r="X27" s="425">
        <v>0</v>
      </c>
      <c r="Y27" s="425">
        <v>0</v>
      </c>
      <c r="Z27" s="425">
        <v>0</v>
      </c>
      <c r="AA27" s="425">
        <v>0</v>
      </c>
      <c r="AB27" s="425">
        <v>0</v>
      </c>
      <c r="AC27" s="425">
        <v>0</v>
      </c>
      <c r="AD27" s="425">
        <v>0</v>
      </c>
      <c r="AE27" s="425">
        <v>0</v>
      </c>
      <c r="AF27" s="425">
        <v>0</v>
      </c>
      <c r="AG27" s="425">
        <v>0</v>
      </c>
      <c r="AH27" s="425">
        <v>0</v>
      </c>
      <c r="AI27" s="425">
        <v>0</v>
      </c>
      <c r="AJ27" s="425">
        <v>0</v>
      </c>
      <c r="AK27" s="425">
        <v>0</v>
      </c>
      <c r="AL27" s="425">
        <v>0</v>
      </c>
      <c r="AM27" s="425">
        <v>0</v>
      </c>
      <c r="AN27" s="425">
        <v>0</v>
      </c>
      <c r="AO27" s="425">
        <v>0</v>
      </c>
      <c r="AP27" s="425">
        <v>0</v>
      </c>
      <c r="AQ27" s="425">
        <v>0</v>
      </c>
      <c r="AR27" s="425">
        <v>0</v>
      </c>
      <c r="AS27" s="425">
        <v>0</v>
      </c>
      <c r="AT27" s="425">
        <v>0</v>
      </c>
      <c r="AU27" s="425">
        <v>0</v>
      </c>
      <c r="AV27" s="425">
        <v>0</v>
      </c>
      <c r="AW27" s="425">
        <v>0</v>
      </c>
      <c r="AX27" s="425">
        <v>0</v>
      </c>
      <c r="AY27" s="425">
        <v>0</v>
      </c>
      <c r="AZ27" s="425">
        <v>0</v>
      </c>
      <c r="BA27" s="425">
        <v>0</v>
      </c>
      <c r="BB27" s="425">
        <v>0</v>
      </c>
      <c r="BC27" s="425">
        <v>0</v>
      </c>
      <c r="BD27" s="425">
        <v>0</v>
      </c>
      <c r="BE27" s="425">
        <v>0</v>
      </c>
      <c r="BF27" s="425">
        <v>0</v>
      </c>
      <c r="BG27" s="425">
        <v>0</v>
      </c>
      <c r="BH27" s="425">
        <v>0</v>
      </c>
      <c r="BI27" s="425">
        <v>0</v>
      </c>
      <c r="BJ27" s="425">
        <v>0</v>
      </c>
      <c r="BK27" s="425">
        <v>0</v>
      </c>
      <c r="BL27" s="425">
        <v>0</v>
      </c>
      <c r="BM27" s="425">
        <v>0</v>
      </c>
    </row>
    <row r="28" spans="1:65" ht="16.5" outlineLevel="1" thickBot="1" x14ac:dyDescent="0.3">
      <c r="B28" s="391"/>
      <c r="D28" s="71"/>
      <c r="E28" s="313"/>
      <c r="F28" s="313"/>
      <c r="G28" s="313"/>
      <c r="K28" s="411"/>
      <c r="L28" s="434"/>
      <c r="M28" s="71">
        <f>MAX(0,MIN($M$4,$I28)-MAX($M$3,$H28))/12*$G28+IF(AND($M$4&gt;=$I28,$M$3&lt;$I28),$F28,0)</f>
        <v>0</v>
      </c>
      <c r="N28" s="71">
        <v>0</v>
      </c>
      <c r="O28" s="71">
        <v>0</v>
      </c>
      <c r="P28" s="71">
        <v>0</v>
      </c>
      <c r="Q28" s="71">
        <v>0</v>
      </c>
      <c r="R28" s="71">
        <v>0</v>
      </c>
      <c r="S28" s="71">
        <v>0</v>
      </c>
      <c r="T28" s="71">
        <v>0</v>
      </c>
      <c r="U28" s="71">
        <v>0</v>
      </c>
      <c r="V28" s="71">
        <v>0</v>
      </c>
      <c r="W28" s="71">
        <v>0</v>
      </c>
      <c r="X28" s="71">
        <v>0</v>
      </c>
      <c r="Y28" s="71">
        <v>0</v>
      </c>
      <c r="Z28" s="71">
        <v>0</v>
      </c>
      <c r="AA28" s="71">
        <v>0</v>
      </c>
      <c r="AB28" s="71">
        <v>0</v>
      </c>
      <c r="AC28" s="71">
        <v>0</v>
      </c>
      <c r="AD28" s="71">
        <v>0</v>
      </c>
      <c r="AE28" s="71">
        <v>0</v>
      </c>
      <c r="AF28" s="71">
        <v>0</v>
      </c>
      <c r="AG28" s="71">
        <v>0</v>
      </c>
      <c r="AH28" s="71">
        <v>0</v>
      </c>
      <c r="AI28" s="71">
        <v>0</v>
      </c>
      <c r="AJ28" s="71">
        <v>0</v>
      </c>
      <c r="AK28" s="71">
        <v>0</v>
      </c>
      <c r="AL28" s="71">
        <v>0</v>
      </c>
      <c r="AM28" s="71">
        <v>0</v>
      </c>
      <c r="AN28" s="71">
        <v>0</v>
      </c>
      <c r="AO28" s="71">
        <v>0</v>
      </c>
      <c r="AP28" s="71">
        <v>0</v>
      </c>
      <c r="AQ28" s="71">
        <v>0</v>
      </c>
      <c r="AR28" s="71">
        <v>0</v>
      </c>
      <c r="AS28" s="71">
        <v>0</v>
      </c>
      <c r="AT28" s="71">
        <v>0</v>
      </c>
      <c r="AU28" s="71">
        <v>0</v>
      </c>
      <c r="AV28" s="71">
        <v>0</v>
      </c>
      <c r="AW28" s="71">
        <v>0</v>
      </c>
      <c r="AX28" s="71">
        <v>0</v>
      </c>
      <c r="AY28" s="71">
        <v>0</v>
      </c>
      <c r="AZ28" s="71">
        <v>0</v>
      </c>
      <c r="BA28" s="71">
        <v>0</v>
      </c>
      <c r="BB28" s="71">
        <v>0</v>
      </c>
      <c r="BC28" s="71">
        <v>0</v>
      </c>
      <c r="BD28" s="71">
        <v>0</v>
      </c>
      <c r="BE28" s="71">
        <v>0</v>
      </c>
      <c r="BF28" s="71">
        <v>0</v>
      </c>
      <c r="BG28" s="71">
        <v>0</v>
      </c>
      <c r="BH28" s="71">
        <v>0</v>
      </c>
      <c r="BI28" s="71">
        <v>0</v>
      </c>
      <c r="BJ28" s="71">
        <v>0</v>
      </c>
      <c r="BK28" s="71">
        <v>0</v>
      </c>
      <c r="BL28" s="71">
        <v>0</v>
      </c>
      <c r="BM28" s="71">
        <v>0</v>
      </c>
    </row>
    <row r="29" spans="1:65" ht="16.5" outlineLevel="1" thickBot="1" x14ac:dyDescent="0.3">
      <c r="B29" s="391"/>
      <c r="D29" s="71"/>
      <c r="E29" s="313"/>
      <c r="F29" s="313"/>
      <c r="G29" s="313"/>
      <c r="K29" s="432" t="s">
        <v>144</v>
      </c>
      <c r="L29" s="512" t="s">
        <v>55</v>
      </c>
      <c r="M29" s="532">
        <f>-SUMIFS($E31:$E50,$C31:$C50,"&gt;"&amp;$M$3,$C31:$C50,"&lt;="&amp;$M$4)</f>
        <v>0</v>
      </c>
      <c r="N29" s="533">
        <v>0</v>
      </c>
      <c r="O29" s="533">
        <v>0</v>
      </c>
      <c r="P29" s="533">
        <v>0</v>
      </c>
      <c r="Q29" s="533">
        <v>0</v>
      </c>
      <c r="R29" s="533">
        <v>0</v>
      </c>
      <c r="S29" s="533">
        <v>0</v>
      </c>
      <c r="T29" s="533">
        <v>0</v>
      </c>
      <c r="U29" s="533">
        <v>0</v>
      </c>
      <c r="V29" s="533">
        <v>0</v>
      </c>
      <c r="W29" s="533">
        <v>0</v>
      </c>
      <c r="X29" s="533">
        <v>0</v>
      </c>
      <c r="Y29" s="533">
        <v>0</v>
      </c>
      <c r="Z29" s="533">
        <v>0</v>
      </c>
      <c r="AA29" s="533">
        <v>0</v>
      </c>
      <c r="AB29" s="533">
        <v>0</v>
      </c>
      <c r="AC29" s="533">
        <v>0</v>
      </c>
      <c r="AD29" s="533">
        <v>0</v>
      </c>
      <c r="AE29" s="533">
        <v>0</v>
      </c>
      <c r="AF29" s="533">
        <v>0</v>
      </c>
      <c r="AG29" s="533">
        <v>0</v>
      </c>
      <c r="AH29" s="533">
        <v>0</v>
      </c>
      <c r="AI29" s="533">
        <v>0</v>
      </c>
      <c r="AJ29" s="533">
        <v>0</v>
      </c>
      <c r="AK29" s="533">
        <v>0</v>
      </c>
      <c r="AL29" s="533">
        <v>0</v>
      </c>
      <c r="AM29" s="533">
        <v>0</v>
      </c>
      <c r="AN29" s="533">
        <v>0</v>
      </c>
      <c r="AO29" s="533">
        <v>0</v>
      </c>
      <c r="AP29" s="533">
        <v>0</v>
      </c>
      <c r="AQ29" s="533">
        <v>0</v>
      </c>
      <c r="AR29" s="533">
        <v>0</v>
      </c>
      <c r="AS29" s="533">
        <v>0</v>
      </c>
      <c r="AT29" s="533">
        <v>0</v>
      </c>
      <c r="AU29" s="533">
        <v>0</v>
      </c>
      <c r="AV29" s="533">
        <v>0</v>
      </c>
      <c r="AW29" s="533">
        <v>0</v>
      </c>
      <c r="AX29" s="533">
        <v>0</v>
      </c>
      <c r="AY29" s="533">
        <v>0</v>
      </c>
      <c r="AZ29" s="533">
        <v>0</v>
      </c>
      <c r="BA29" s="533">
        <v>0</v>
      </c>
      <c r="BB29" s="533">
        <v>0</v>
      </c>
      <c r="BC29" s="533">
        <v>0</v>
      </c>
      <c r="BD29" s="533">
        <v>0</v>
      </c>
      <c r="BE29" s="533">
        <v>0</v>
      </c>
      <c r="BF29" s="533">
        <v>0</v>
      </c>
      <c r="BG29" s="533">
        <v>0</v>
      </c>
      <c r="BH29" s="533">
        <v>0</v>
      </c>
      <c r="BI29" s="533">
        <v>0</v>
      </c>
      <c r="BJ29" s="533">
        <v>0</v>
      </c>
      <c r="BK29" s="533">
        <v>0</v>
      </c>
      <c r="BL29" s="533">
        <v>0</v>
      </c>
      <c r="BM29" s="533">
        <v>0</v>
      </c>
    </row>
    <row r="30" spans="1:65" ht="16.5" outlineLevel="1" thickBot="1" x14ac:dyDescent="0.3">
      <c r="B30" s="391"/>
      <c r="C30" s="488"/>
      <c r="D30" s="489"/>
      <c r="E30" s="489" t="str" cm="1">
        <f t="array" ref="E30:E50">TRANSPOSE('Project Model'!$D$31:$X$31)</f>
        <v>t CO2e</v>
      </c>
      <c r="F30" s="491" t="str" cm="1">
        <f t="array" ref="F30:F50">TRANSPOSE('Project Model'!$D$104:$X$104)</f>
        <v>t CO2e</v>
      </c>
      <c r="G30" s="492" t="str" cm="1">
        <f t="array" ref="G30:G50">TRANSPOSE('Project Model'!D111:X111)</f>
        <v>t CO2e/yr</v>
      </c>
      <c r="H30" s="488" t="str">
        <f t="shared" ref="H30:I30" si="2">H7</f>
        <v>Month</v>
      </c>
      <c r="I30" s="490" t="str">
        <f t="shared" si="2"/>
        <v>Month</v>
      </c>
      <c r="J30" s="127"/>
      <c r="K30" s="429" t="s">
        <v>145</v>
      </c>
      <c r="L30" s="513" t="s">
        <v>55</v>
      </c>
      <c r="M30" s="534">
        <f>-SUMIFS($F31:$F50,$I31:$I50,"&gt;"&amp;$M$3,$I31:$I50,"&lt;="&amp;$M$4)</f>
        <v>0</v>
      </c>
      <c r="N30" s="535">
        <v>0</v>
      </c>
      <c r="O30" s="535">
        <v>0</v>
      </c>
      <c r="P30" s="535">
        <v>0</v>
      </c>
      <c r="Q30" s="535">
        <v>0</v>
      </c>
      <c r="R30" s="535">
        <v>0</v>
      </c>
      <c r="S30" s="535">
        <v>0</v>
      </c>
      <c r="T30" s="535">
        <v>0</v>
      </c>
      <c r="U30" s="535">
        <v>0</v>
      </c>
      <c r="V30" s="535">
        <v>0</v>
      </c>
      <c r="W30" s="535">
        <v>0</v>
      </c>
      <c r="X30" s="535">
        <v>0</v>
      </c>
      <c r="Y30" s="535">
        <v>0</v>
      </c>
      <c r="Z30" s="535">
        <v>0</v>
      </c>
      <c r="AA30" s="535">
        <v>0</v>
      </c>
      <c r="AB30" s="535">
        <v>0</v>
      </c>
      <c r="AC30" s="535">
        <v>0</v>
      </c>
      <c r="AD30" s="535">
        <v>0</v>
      </c>
      <c r="AE30" s="535">
        <v>0</v>
      </c>
      <c r="AF30" s="535">
        <v>0</v>
      </c>
      <c r="AG30" s="535">
        <v>0</v>
      </c>
      <c r="AH30" s="535">
        <v>0</v>
      </c>
      <c r="AI30" s="535">
        <v>0</v>
      </c>
      <c r="AJ30" s="535">
        <v>0</v>
      </c>
      <c r="AK30" s="535">
        <v>0</v>
      </c>
      <c r="AL30" s="535">
        <v>0</v>
      </c>
      <c r="AM30" s="535">
        <v>0</v>
      </c>
      <c r="AN30" s="535">
        <v>0</v>
      </c>
      <c r="AO30" s="535">
        <v>0</v>
      </c>
      <c r="AP30" s="535">
        <v>0</v>
      </c>
      <c r="AQ30" s="535">
        <v>0</v>
      </c>
      <c r="AR30" s="535">
        <v>0</v>
      </c>
      <c r="AS30" s="535">
        <v>0</v>
      </c>
      <c r="AT30" s="535">
        <v>0</v>
      </c>
      <c r="AU30" s="535">
        <v>0</v>
      </c>
      <c r="AV30" s="535">
        <v>0</v>
      </c>
      <c r="AW30" s="535">
        <v>0</v>
      </c>
      <c r="AX30" s="535">
        <v>0</v>
      </c>
      <c r="AY30" s="535">
        <v>0</v>
      </c>
      <c r="AZ30" s="535">
        <v>0</v>
      </c>
      <c r="BA30" s="535">
        <v>0</v>
      </c>
      <c r="BB30" s="535">
        <v>0</v>
      </c>
      <c r="BC30" s="535">
        <v>0</v>
      </c>
      <c r="BD30" s="535">
        <v>0</v>
      </c>
      <c r="BE30" s="535">
        <v>0</v>
      </c>
      <c r="BF30" s="535">
        <v>0</v>
      </c>
      <c r="BG30" s="535">
        <v>0</v>
      </c>
      <c r="BH30" s="535">
        <v>0</v>
      </c>
      <c r="BI30" s="535">
        <v>0</v>
      </c>
      <c r="BJ30" s="535">
        <v>0</v>
      </c>
      <c r="BK30" s="535">
        <v>0</v>
      </c>
      <c r="BL30" s="535">
        <v>0</v>
      </c>
      <c r="BM30" s="535">
        <v>0</v>
      </c>
    </row>
    <row r="31" spans="1:65" ht="16.5" outlineLevel="1" thickBot="1" x14ac:dyDescent="0.3">
      <c r="A31" s="869" t="s">
        <v>18</v>
      </c>
      <c r="B31" s="473" t="str">
        <f>B8</f>
        <v>Not tied to a module</v>
      </c>
      <c r="C31" s="465">
        <f>C8</f>
        <v>2</v>
      </c>
      <c r="D31" s="413"/>
      <c r="E31" s="418">
        <v>0</v>
      </c>
      <c r="F31" s="419">
        <v>0</v>
      </c>
      <c r="G31" s="493">
        <v>0</v>
      </c>
      <c r="H31" s="261">
        <f>H8</f>
        <v>2</v>
      </c>
      <c r="I31" s="476">
        <f>I8</f>
        <v>242</v>
      </c>
      <c r="K31" s="430" t="str">
        <f t="shared" ref="K31:K50" si="3">B31</f>
        <v>Not tied to a module</v>
      </c>
      <c r="L31" s="512" t="s">
        <v>55</v>
      </c>
      <c r="M31" s="532">
        <f t="shared" ref="M31:M50" si="4">MAX(0,MIN($M$4,$I31)-MAX($M$3,$H31))/12*$G31</f>
        <v>0</v>
      </c>
      <c r="N31" s="537">
        <v>0</v>
      </c>
      <c r="O31" s="537">
        <v>0</v>
      </c>
      <c r="P31" s="537">
        <v>0</v>
      </c>
      <c r="Q31" s="537">
        <v>0</v>
      </c>
      <c r="R31" s="537">
        <v>0</v>
      </c>
      <c r="S31" s="537">
        <v>0</v>
      </c>
      <c r="T31" s="537">
        <v>0</v>
      </c>
      <c r="U31" s="537">
        <v>0</v>
      </c>
      <c r="V31" s="537">
        <v>0</v>
      </c>
      <c r="W31" s="537">
        <v>0</v>
      </c>
      <c r="X31" s="537">
        <v>0</v>
      </c>
      <c r="Y31" s="537">
        <v>0</v>
      </c>
      <c r="Z31" s="537">
        <v>0</v>
      </c>
      <c r="AA31" s="537">
        <v>0</v>
      </c>
      <c r="AB31" s="537">
        <v>0</v>
      </c>
      <c r="AC31" s="537">
        <v>0</v>
      </c>
      <c r="AD31" s="537">
        <v>0</v>
      </c>
      <c r="AE31" s="537">
        <v>0</v>
      </c>
      <c r="AF31" s="537">
        <v>0</v>
      </c>
      <c r="AG31" s="537">
        <v>0</v>
      </c>
      <c r="AH31" s="537">
        <v>0</v>
      </c>
      <c r="AI31" s="537">
        <v>0</v>
      </c>
      <c r="AJ31" s="537">
        <v>0</v>
      </c>
      <c r="AK31" s="537">
        <v>0</v>
      </c>
      <c r="AL31" s="537">
        <v>0</v>
      </c>
      <c r="AM31" s="537">
        <v>0</v>
      </c>
      <c r="AN31" s="537">
        <v>0</v>
      </c>
      <c r="AO31" s="537">
        <v>0</v>
      </c>
      <c r="AP31" s="537">
        <v>0</v>
      </c>
      <c r="AQ31" s="537">
        <v>0</v>
      </c>
      <c r="AR31" s="537">
        <v>0</v>
      </c>
      <c r="AS31" s="537">
        <v>0</v>
      </c>
      <c r="AT31" s="537">
        <v>0</v>
      </c>
      <c r="AU31" s="537">
        <v>0</v>
      </c>
      <c r="AV31" s="537">
        <v>0</v>
      </c>
      <c r="AW31" s="537">
        <v>0</v>
      </c>
      <c r="AX31" s="537">
        <v>0</v>
      </c>
      <c r="AY31" s="537">
        <v>0</v>
      </c>
      <c r="AZ31" s="537">
        <v>0</v>
      </c>
      <c r="BA31" s="537">
        <v>0</v>
      </c>
      <c r="BB31" s="537">
        <v>0</v>
      </c>
      <c r="BC31" s="537">
        <v>0</v>
      </c>
      <c r="BD31" s="537">
        <v>0</v>
      </c>
      <c r="BE31" s="537">
        <v>0</v>
      </c>
      <c r="BF31" s="537">
        <v>0</v>
      </c>
      <c r="BG31" s="537">
        <v>0</v>
      </c>
      <c r="BH31" s="537">
        <v>0</v>
      </c>
      <c r="BI31" s="537">
        <v>0</v>
      </c>
      <c r="BJ31" s="537">
        <v>0</v>
      </c>
      <c r="BK31" s="537">
        <v>0</v>
      </c>
      <c r="BL31" s="537">
        <v>0</v>
      </c>
      <c r="BM31" s="537">
        <v>0</v>
      </c>
    </row>
    <row r="32" spans="1:65" ht="16.5" outlineLevel="1" thickBot="1" x14ac:dyDescent="0.3">
      <c r="A32" s="870"/>
      <c r="B32" s="473" t="str">
        <f t="shared" ref="B32:B50" si="5">B9</f>
        <v>FEED and approvals</v>
      </c>
      <c r="C32" s="408">
        <f t="shared" ref="C32:C38" si="6">C9</f>
        <v>6</v>
      </c>
      <c r="D32" s="11"/>
      <c r="E32" s="392">
        <v>0</v>
      </c>
      <c r="F32" s="395">
        <v>0</v>
      </c>
      <c r="G32" s="494">
        <v>0</v>
      </c>
      <c r="H32" s="262">
        <f t="shared" ref="H32:I32" si="7">H9</f>
        <v>6</v>
      </c>
      <c r="I32" s="478">
        <f t="shared" si="7"/>
        <v>246</v>
      </c>
      <c r="K32" s="429" t="str">
        <f t="shared" si="3"/>
        <v>FEED and approvals</v>
      </c>
      <c r="L32" s="513" t="s">
        <v>55</v>
      </c>
      <c r="M32" s="539">
        <f t="shared" si="4"/>
        <v>0</v>
      </c>
      <c r="N32" s="540">
        <v>0</v>
      </c>
      <c r="O32" s="540">
        <v>0</v>
      </c>
      <c r="P32" s="540">
        <v>0</v>
      </c>
      <c r="Q32" s="540">
        <v>0</v>
      </c>
      <c r="R32" s="540">
        <v>0</v>
      </c>
      <c r="S32" s="540">
        <v>0</v>
      </c>
      <c r="T32" s="540">
        <v>0</v>
      </c>
      <c r="U32" s="540">
        <v>0</v>
      </c>
      <c r="V32" s="540">
        <v>0</v>
      </c>
      <c r="W32" s="540">
        <v>0</v>
      </c>
      <c r="X32" s="540">
        <v>0</v>
      </c>
      <c r="Y32" s="540">
        <v>0</v>
      </c>
      <c r="Z32" s="540">
        <v>0</v>
      </c>
      <c r="AA32" s="540">
        <v>0</v>
      </c>
      <c r="AB32" s="540">
        <v>0</v>
      </c>
      <c r="AC32" s="540">
        <v>0</v>
      </c>
      <c r="AD32" s="540">
        <v>0</v>
      </c>
      <c r="AE32" s="540">
        <v>0</v>
      </c>
      <c r="AF32" s="540">
        <v>0</v>
      </c>
      <c r="AG32" s="540">
        <v>0</v>
      </c>
      <c r="AH32" s="540">
        <v>0</v>
      </c>
      <c r="AI32" s="540">
        <v>0</v>
      </c>
      <c r="AJ32" s="540">
        <v>0</v>
      </c>
      <c r="AK32" s="540">
        <v>0</v>
      </c>
      <c r="AL32" s="540">
        <v>0</v>
      </c>
      <c r="AM32" s="540">
        <v>0</v>
      </c>
      <c r="AN32" s="540">
        <v>0</v>
      </c>
      <c r="AO32" s="540">
        <v>0</v>
      </c>
      <c r="AP32" s="540">
        <v>0</v>
      </c>
      <c r="AQ32" s="540">
        <v>0</v>
      </c>
      <c r="AR32" s="540">
        <v>0</v>
      </c>
      <c r="AS32" s="540">
        <v>0</v>
      </c>
      <c r="AT32" s="540">
        <v>0</v>
      </c>
      <c r="AU32" s="540">
        <v>0</v>
      </c>
      <c r="AV32" s="540">
        <v>0</v>
      </c>
      <c r="AW32" s="540">
        <v>0</v>
      </c>
      <c r="AX32" s="540">
        <v>0</v>
      </c>
      <c r="AY32" s="540">
        <v>0</v>
      </c>
      <c r="AZ32" s="540">
        <v>0</v>
      </c>
      <c r="BA32" s="540">
        <v>0</v>
      </c>
      <c r="BB32" s="540">
        <v>0</v>
      </c>
      <c r="BC32" s="540">
        <v>0</v>
      </c>
      <c r="BD32" s="540">
        <v>0</v>
      </c>
      <c r="BE32" s="540">
        <v>0</v>
      </c>
      <c r="BF32" s="540">
        <v>0</v>
      </c>
      <c r="BG32" s="540">
        <v>0</v>
      </c>
      <c r="BH32" s="540">
        <v>0</v>
      </c>
      <c r="BI32" s="540">
        <v>0</v>
      </c>
      <c r="BJ32" s="540">
        <v>0</v>
      </c>
      <c r="BK32" s="540">
        <v>0</v>
      </c>
      <c r="BL32" s="540">
        <v>0</v>
      </c>
      <c r="BM32" s="540">
        <v>0</v>
      </c>
    </row>
    <row r="33" spans="1:65" ht="16.5" outlineLevel="1" thickBot="1" x14ac:dyDescent="0.3">
      <c r="A33" s="870"/>
      <c r="B33" s="473" t="str">
        <f t="shared" si="5"/>
        <v>Solar North SAT</v>
      </c>
      <c r="C33" s="408">
        <f t="shared" si="6"/>
        <v>6</v>
      </c>
      <c r="D33" s="11"/>
      <c r="E33" s="392">
        <v>0</v>
      </c>
      <c r="F33" s="395">
        <v>0</v>
      </c>
      <c r="G33" s="494">
        <v>3219.2999999999997</v>
      </c>
      <c r="H33" s="262">
        <f t="shared" ref="H33:I33" si="8">H10</f>
        <v>6</v>
      </c>
      <c r="I33" s="478">
        <f t="shared" si="8"/>
        <v>246</v>
      </c>
      <c r="K33" s="429" t="str">
        <f t="shared" si="3"/>
        <v>Solar North SAT</v>
      </c>
      <c r="L33" s="513" t="s">
        <v>55</v>
      </c>
      <c r="M33" s="539">
        <f t="shared" si="4"/>
        <v>804.82499999999993</v>
      </c>
      <c r="N33" s="540">
        <v>3195.4432999783257</v>
      </c>
      <c r="O33" s="540">
        <v>3171.7633906055262</v>
      </c>
      <c r="P33" s="540">
        <v>3148.2589617702502</v>
      </c>
      <c r="Q33" s="540">
        <v>3124.9287130697562</v>
      </c>
      <c r="R33" s="540">
        <v>3101.7713537379686</v>
      </c>
      <c r="S33" s="540">
        <v>3078.7856025740671</v>
      </c>
      <c r="T33" s="540">
        <v>3055.9701878715973</v>
      </c>
      <c r="U33" s="540">
        <v>3033.3238473481197</v>
      </c>
      <c r="V33" s="540">
        <v>3010.8453280753665</v>
      </c>
      <c r="W33" s="540">
        <v>2988.5333864099257</v>
      </c>
      <c r="X33" s="540">
        <v>2966.3867879244344</v>
      </c>
      <c r="Y33" s="540">
        <v>2944.404307339285</v>
      </c>
      <c r="Z33" s="540">
        <v>2922.5847284548322</v>
      </c>
      <c r="AA33" s="540">
        <v>2900.9268440841079</v>
      </c>
      <c r="AB33" s="540">
        <v>2879.4294559860314</v>
      </c>
      <c r="AC33" s="540">
        <v>2858.0913747991176</v>
      </c>
      <c r="AD33" s="540">
        <v>2836.9114199756723</v>
      </c>
      <c r="AE33" s="540">
        <v>2815.8884197164789</v>
      </c>
      <c r="AF33" s="540">
        <v>2795.0212109059662</v>
      </c>
      <c r="AG33" s="540">
        <v>2080.7314792858951</v>
      </c>
      <c r="AH33" s="540">
        <v>0</v>
      </c>
      <c r="AI33" s="540">
        <v>0</v>
      </c>
      <c r="AJ33" s="540">
        <v>0</v>
      </c>
      <c r="AK33" s="540">
        <v>0</v>
      </c>
      <c r="AL33" s="540">
        <v>0</v>
      </c>
      <c r="AM33" s="540">
        <v>0</v>
      </c>
      <c r="AN33" s="540">
        <v>0</v>
      </c>
      <c r="AO33" s="540">
        <v>0</v>
      </c>
      <c r="AP33" s="540">
        <v>0</v>
      </c>
      <c r="AQ33" s="540">
        <v>0</v>
      </c>
      <c r="AR33" s="540">
        <v>0</v>
      </c>
      <c r="AS33" s="540">
        <v>0</v>
      </c>
      <c r="AT33" s="540">
        <v>0</v>
      </c>
      <c r="AU33" s="540">
        <v>0</v>
      </c>
      <c r="AV33" s="540">
        <v>0</v>
      </c>
      <c r="AW33" s="540">
        <v>0</v>
      </c>
      <c r="AX33" s="540">
        <v>0</v>
      </c>
      <c r="AY33" s="540">
        <v>0</v>
      </c>
      <c r="AZ33" s="540">
        <v>0</v>
      </c>
      <c r="BA33" s="540">
        <v>0</v>
      </c>
      <c r="BB33" s="540">
        <v>0</v>
      </c>
      <c r="BC33" s="540">
        <v>0</v>
      </c>
      <c r="BD33" s="540">
        <v>0</v>
      </c>
      <c r="BE33" s="540">
        <v>0</v>
      </c>
      <c r="BF33" s="540">
        <v>0</v>
      </c>
      <c r="BG33" s="540">
        <v>0</v>
      </c>
      <c r="BH33" s="540">
        <v>0</v>
      </c>
      <c r="BI33" s="540">
        <v>0</v>
      </c>
      <c r="BJ33" s="540">
        <v>0</v>
      </c>
      <c r="BK33" s="540">
        <v>0</v>
      </c>
      <c r="BL33" s="540">
        <v>0</v>
      </c>
      <c r="BM33" s="540">
        <v>0</v>
      </c>
    </row>
    <row r="34" spans="1:65" ht="16.5" outlineLevel="1" thickBot="1" x14ac:dyDescent="0.3">
      <c r="A34" s="870"/>
      <c r="B34" s="473" t="str">
        <f t="shared" si="5"/>
        <v>Solar East/West</v>
      </c>
      <c r="C34" s="408">
        <f t="shared" si="6"/>
        <v>7</v>
      </c>
      <c r="D34" s="11"/>
      <c r="E34" s="392">
        <v>0</v>
      </c>
      <c r="F34" s="395">
        <v>0</v>
      </c>
      <c r="G34" s="494">
        <v>2446.6680000000001</v>
      </c>
      <c r="H34" s="262">
        <f t="shared" ref="H34:I34" si="9">H11</f>
        <v>7</v>
      </c>
      <c r="I34" s="478">
        <f t="shared" si="9"/>
        <v>247</v>
      </c>
      <c r="K34" s="429" t="str">
        <f t="shared" si="3"/>
        <v>Solar East/West</v>
      </c>
      <c r="L34" s="513" t="s">
        <v>55</v>
      </c>
      <c r="M34" s="539">
        <f t="shared" si="4"/>
        <v>407.77800000000002</v>
      </c>
      <c r="N34" s="540">
        <v>2428.5369079835273</v>
      </c>
      <c r="O34" s="540">
        <v>2410.5401768602001</v>
      </c>
      <c r="P34" s="540">
        <v>2392.6768109453901</v>
      </c>
      <c r="Q34" s="540">
        <v>2374.9458219330149</v>
      </c>
      <c r="R34" s="540">
        <v>2357.3462288408564</v>
      </c>
      <c r="S34" s="540">
        <v>2339.8770579562911</v>
      </c>
      <c r="T34" s="540">
        <v>2322.5373427824138</v>
      </c>
      <c r="U34" s="540">
        <v>2305.326123984571</v>
      </c>
      <c r="V34" s="540">
        <v>2288.2424493372782</v>
      </c>
      <c r="W34" s="540">
        <v>2271.2853736715433</v>
      </c>
      <c r="X34" s="540">
        <v>2254.4539588225707</v>
      </c>
      <c r="Y34" s="540">
        <v>2237.747273577857</v>
      </c>
      <c r="Z34" s="540">
        <v>2221.1643936256723</v>
      </c>
      <c r="AA34" s="540">
        <v>2204.7044015039219</v>
      </c>
      <c r="AB34" s="540">
        <v>2188.3663865493836</v>
      </c>
      <c r="AC34" s="540">
        <v>2172.1494448473295</v>
      </c>
      <c r="AD34" s="540">
        <v>2156.0526791815109</v>
      </c>
      <c r="AE34" s="540">
        <v>2140.0751989845239</v>
      </c>
      <c r="AF34" s="540">
        <v>2124.2161202885345</v>
      </c>
      <c r="AG34" s="540">
        <v>1757.0621380636451</v>
      </c>
      <c r="AH34" s="540">
        <v>0</v>
      </c>
      <c r="AI34" s="540">
        <v>0</v>
      </c>
      <c r="AJ34" s="540">
        <v>0</v>
      </c>
      <c r="AK34" s="540">
        <v>0</v>
      </c>
      <c r="AL34" s="540">
        <v>0</v>
      </c>
      <c r="AM34" s="540">
        <v>0</v>
      </c>
      <c r="AN34" s="540">
        <v>0</v>
      </c>
      <c r="AO34" s="540">
        <v>0</v>
      </c>
      <c r="AP34" s="540">
        <v>0</v>
      </c>
      <c r="AQ34" s="540">
        <v>0</v>
      </c>
      <c r="AR34" s="540">
        <v>0</v>
      </c>
      <c r="AS34" s="540">
        <v>0</v>
      </c>
      <c r="AT34" s="540">
        <v>0</v>
      </c>
      <c r="AU34" s="540">
        <v>0</v>
      </c>
      <c r="AV34" s="540">
        <v>0</v>
      </c>
      <c r="AW34" s="540">
        <v>0</v>
      </c>
      <c r="AX34" s="540">
        <v>0</v>
      </c>
      <c r="AY34" s="540">
        <v>0</v>
      </c>
      <c r="AZ34" s="540">
        <v>0</v>
      </c>
      <c r="BA34" s="540">
        <v>0</v>
      </c>
      <c r="BB34" s="540">
        <v>0</v>
      </c>
      <c r="BC34" s="540">
        <v>0</v>
      </c>
      <c r="BD34" s="540">
        <v>0</v>
      </c>
      <c r="BE34" s="540">
        <v>0</v>
      </c>
      <c r="BF34" s="540">
        <v>0</v>
      </c>
      <c r="BG34" s="540">
        <v>0</v>
      </c>
      <c r="BH34" s="540">
        <v>0</v>
      </c>
      <c r="BI34" s="540">
        <v>0</v>
      </c>
      <c r="BJ34" s="540">
        <v>0</v>
      </c>
      <c r="BK34" s="540">
        <v>0</v>
      </c>
      <c r="BL34" s="540">
        <v>0</v>
      </c>
      <c r="BM34" s="540">
        <v>0</v>
      </c>
    </row>
    <row r="35" spans="1:65" ht="16.5" outlineLevel="1" thickBot="1" x14ac:dyDescent="0.3">
      <c r="A35" s="870"/>
      <c r="B35" s="473" t="str">
        <f t="shared" si="5"/>
        <v>Wind farm</v>
      </c>
      <c r="C35" s="408">
        <f t="shared" si="6"/>
        <v>6</v>
      </c>
      <c r="D35" s="11"/>
      <c r="E35" s="392">
        <v>0</v>
      </c>
      <c r="F35" s="395">
        <v>0</v>
      </c>
      <c r="G35" s="494">
        <v>3755.85</v>
      </c>
      <c r="H35" s="262">
        <f t="shared" ref="H35:I35" si="10">H12</f>
        <v>6</v>
      </c>
      <c r="I35" s="478">
        <f t="shared" si="10"/>
        <v>246</v>
      </c>
      <c r="K35" s="429" t="str">
        <f t="shared" si="3"/>
        <v>Wind farm</v>
      </c>
      <c r="L35" s="513" t="s">
        <v>55</v>
      </c>
      <c r="M35" s="539">
        <f t="shared" si="4"/>
        <v>938.96249999999998</v>
      </c>
      <c r="N35" s="540">
        <v>3737.0707499999999</v>
      </c>
      <c r="O35" s="540">
        <v>3718.3853962499993</v>
      </c>
      <c r="P35" s="540">
        <v>3699.79346926875</v>
      </c>
      <c r="Q35" s="540">
        <v>3681.2945019224062</v>
      </c>
      <c r="R35" s="540">
        <v>3662.8880294127944</v>
      </c>
      <c r="S35" s="540">
        <v>3644.5735892657303</v>
      </c>
      <c r="T35" s="540">
        <v>3626.3507213194011</v>
      </c>
      <c r="U35" s="540">
        <v>3608.2189677128044</v>
      </c>
      <c r="V35" s="540">
        <v>3590.1778728742402</v>
      </c>
      <c r="W35" s="540">
        <v>3572.2269835098682</v>
      </c>
      <c r="X35" s="540">
        <v>3554.3658485923193</v>
      </c>
      <c r="Y35" s="540">
        <v>3536.5940193493575</v>
      </c>
      <c r="Z35" s="540">
        <v>3518.9110492526106</v>
      </c>
      <c r="AA35" s="540">
        <v>3501.316494006348</v>
      </c>
      <c r="AB35" s="540">
        <v>3483.8099115363161</v>
      </c>
      <c r="AC35" s="540">
        <v>3466.3908619786348</v>
      </c>
      <c r="AD35" s="540">
        <v>3449.0589076687415</v>
      </c>
      <c r="AE35" s="540">
        <v>3431.8136131303986</v>
      </c>
      <c r="AF35" s="540">
        <v>3414.6545450647454</v>
      </c>
      <c r="AG35" s="540">
        <v>2548.1859542545667</v>
      </c>
      <c r="AH35" s="540">
        <v>0</v>
      </c>
      <c r="AI35" s="540">
        <v>0</v>
      </c>
      <c r="AJ35" s="540">
        <v>0</v>
      </c>
      <c r="AK35" s="540">
        <v>0</v>
      </c>
      <c r="AL35" s="540">
        <v>0</v>
      </c>
      <c r="AM35" s="540">
        <v>0</v>
      </c>
      <c r="AN35" s="540">
        <v>0</v>
      </c>
      <c r="AO35" s="540">
        <v>0</v>
      </c>
      <c r="AP35" s="540">
        <v>0</v>
      </c>
      <c r="AQ35" s="540">
        <v>0</v>
      </c>
      <c r="AR35" s="540">
        <v>0</v>
      </c>
      <c r="AS35" s="540">
        <v>0</v>
      </c>
      <c r="AT35" s="540">
        <v>0</v>
      </c>
      <c r="AU35" s="540">
        <v>0</v>
      </c>
      <c r="AV35" s="540">
        <v>0</v>
      </c>
      <c r="AW35" s="540">
        <v>0</v>
      </c>
      <c r="AX35" s="540">
        <v>0</v>
      </c>
      <c r="AY35" s="540">
        <v>0</v>
      </c>
      <c r="AZ35" s="540">
        <v>0</v>
      </c>
      <c r="BA35" s="540">
        <v>0</v>
      </c>
      <c r="BB35" s="540">
        <v>0</v>
      </c>
      <c r="BC35" s="540">
        <v>0</v>
      </c>
      <c r="BD35" s="540">
        <v>0</v>
      </c>
      <c r="BE35" s="540">
        <v>0</v>
      </c>
      <c r="BF35" s="540">
        <v>0</v>
      </c>
      <c r="BG35" s="540">
        <v>0</v>
      </c>
      <c r="BH35" s="540">
        <v>0</v>
      </c>
      <c r="BI35" s="540">
        <v>0</v>
      </c>
      <c r="BJ35" s="540">
        <v>0</v>
      </c>
      <c r="BK35" s="540">
        <v>0</v>
      </c>
      <c r="BL35" s="540">
        <v>0</v>
      </c>
      <c r="BM35" s="540">
        <v>0</v>
      </c>
    </row>
    <row r="36" spans="1:65" ht="16.5" outlineLevel="1" thickBot="1" x14ac:dyDescent="0.3">
      <c r="A36" s="870"/>
      <c r="B36" s="473" t="str">
        <f t="shared" si="5"/>
        <v>Biogas generator</v>
      </c>
      <c r="C36" s="408">
        <f t="shared" si="6"/>
        <v>12</v>
      </c>
      <c r="D36" s="11"/>
      <c r="E36" s="392">
        <v>0</v>
      </c>
      <c r="F36" s="395">
        <v>0</v>
      </c>
      <c r="G36" s="494">
        <v>1283.2524000000001</v>
      </c>
      <c r="H36" s="262">
        <f t="shared" ref="H36:I36" si="11">H13</f>
        <v>12</v>
      </c>
      <c r="I36" s="478">
        <f t="shared" si="11"/>
        <v>252</v>
      </c>
      <c r="K36" s="429" t="str">
        <f t="shared" si="3"/>
        <v>Biogas generator</v>
      </c>
      <c r="L36" s="513" t="s">
        <v>55</v>
      </c>
      <c r="M36" s="539">
        <f t="shared" si="4"/>
        <v>0</v>
      </c>
      <c r="N36" s="540">
        <v>962.4393</v>
      </c>
      <c r="O36" s="540">
        <v>1283.2524000000001</v>
      </c>
      <c r="P36" s="540">
        <v>1283.2524000000001</v>
      </c>
      <c r="Q36" s="540">
        <v>1283.2524000000001</v>
      </c>
      <c r="R36" s="540">
        <v>1283.2524000000001</v>
      </c>
      <c r="S36" s="540">
        <v>1283.2524000000001</v>
      </c>
      <c r="T36" s="540">
        <v>1283.2524000000001</v>
      </c>
      <c r="U36" s="540">
        <v>1283.2524000000001</v>
      </c>
      <c r="V36" s="540">
        <v>1283.2524000000001</v>
      </c>
      <c r="W36" s="540">
        <v>1283.2524000000001</v>
      </c>
      <c r="X36" s="540">
        <v>1283.2524000000001</v>
      </c>
      <c r="Y36" s="540">
        <v>1283.2524000000001</v>
      </c>
      <c r="Z36" s="540">
        <v>1283.2524000000001</v>
      </c>
      <c r="AA36" s="540">
        <v>1283.2524000000001</v>
      </c>
      <c r="AB36" s="540">
        <v>1283.2524000000001</v>
      </c>
      <c r="AC36" s="540">
        <v>1283.2524000000001</v>
      </c>
      <c r="AD36" s="540">
        <v>1283.2524000000001</v>
      </c>
      <c r="AE36" s="540">
        <v>1283.2524000000001</v>
      </c>
      <c r="AF36" s="540">
        <v>1283.2524000000001</v>
      </c>
      <c r="AG36" s="540">
        <v>1283.2524000000001</v>
      </c>
      <c r="AH36" s="540">
        <v>320.81310000000002</v>
      </c>
      <c r="AI36" s="540">
        <v>0</v>
      </c>
      <c r="AJ36" s="540">
        <v>0</v>
      </c>
      <c r="AK36" s="540">
        <v>0</v>
      </c>
      <c r="AL36" s="540">
        <v>0</v>
      </c>
      <c r="AM36" s="540">
        <v>0</v>
      </c>
      <c r="AN36" s="540">
        <v>0</v>
      </c>
      <c r="AO36" s="540">
        <v>0</v>
      </c>
      <c r="AP36" s="540">
        <v>0</v>
      </c>
      <c r="AQ36" s="540">
        <v>0</v>
      </c>
      <c r="AR36" s="540">
        <v>0</v>
      </c>
      <c r="AS36" s="540">
        <v>0</v>
      </c>
      <c r="AT36" s="540">
        <v>0</v>
      </c>
      <c r="AU36" s="540">
        <v>0</v>
      </c>
      <c r="AV36" s="540">
        <v>0</v>
      </c>
      <c r="AW36" s="540">
        <v>0</v>
      </c>
      <c r="AX36" s="540">
        <v>0</v>
      </c>
      <c r="AY36" s="540">
        <v>0</v>
      </c>
      <c r="AZ36" s="540">
        <v>0</v>
      </c>
      <c r="BA36" s="540">
        <v>0</v>
      </c>
      <c r="BB36" s="540">
        <v>0</v>
      </c>
      <c r="BC36" s="540">
        <v>0</v>
      </c>
      <c r="BD36" s="540">
        <v>0</v>
      </c>
      <c r="BE36" s="540">
        <v>0</v>
      </c>
      <c r="BF36" s="540">
        <v>0</v>
      </c>
      <c r="BG36" s="540">
        <v>0</v>
      </c>
      <c r="BH36" s="540">
        <v>0</v>
      </c>
      <c r="BI36" s="540">
        <v>0</v>
      </c>
      <c r="BJ36" s="540">
        <v>0</v>
      </c>
      <c r="BK36" s="540">
        <v>0</v>
      </c>
      <c r="BL36" s="540">
        <v>0</v>
      </c>
      <c r="BM36" s="540">
        <v>0</v>
      </c>
    </row>
    <row r="37" spans="1:65" ht="16.5" outlineLevel="1" thickBot="1" x14ac:dyDescent="0.3">
      <c r="A37" s="870"/>
      <c r="B37" s="473" t="str">
        <f t="shared" si="5"/>
        <v>Battery system</v>
      </c>
      <c r="C37" s="408">
        <f t="shared" si="6"/>
        <v>4</v>
      </c>
      <c r="D37" s="11"/>
      <c r="E37" s="392">
        <v>0</v>
      </c>
      <c r="F37" s="395">
        <v>0</v>
      </c>
      <c r="G37" s="494">
        <v>1609.6499999999999</v>
      </c>
      <c r="H37" s="262">
        <f t="shared" ref="H37:I37" si="12">H14</f>
        <v>18</v>
      </c>
      <c r="I37" s="478">
        <f t="shared" si="12"/>
        <v>138</v>
      </c>
      <c r="K37" s="429" t="str">
        <f t="shared" si="3"/>
        <v>Battery system</v>
      </c>
      <c r="L37" s="513" t="s">
        <v>55</v>
      </c>
      <c r="M37" s="539">
        <f t="shared" si="4"/>
        <v>0</v>
      </c>
      <c r="N37" s="540">
        <v>394.76824732815641</v>
      </c>
      <c r="O37" s="540">
        <v>1549.0768214063378</v>
      </c>
      <c r="P37" s="540">
        <v>1519.6504625558391</v>
      </c>
      <c r="Q37" s="540">
        <v>1490.7830886331583</v>
      </c>
      <c r="R37" s="540">
        <v>1462.464081126127</v>
      </c>
      <c r="S37" s="540">
        <v>1434.6830232324887</v>
      </c>
      <c r="T37" s="540">
        <v>1407.4296960282059</v>
      </c>
      <c r="U37" s="540">
        <v>1380.6940747085509</v>
      </c>
      <c r="V37" s="540">
        <v>1354.4663249006067</v>
      </c>
      <c r="W37" s="540">
        <v>1328.7367990458092</v>
      </c>
      <c r="X37" s="540">
        <v>0</v>
      </c>
      <c r="Y37" s="540">
        <v>0</v>
      </c>
      <c r="Z37" s="540">
        <v>0</v>
      </c>
      <c r="AA37" s="540">
        <v>0</v>
      </c>
      <c r="AB37" s="540">
        <v>0</v>
      </c>
      <c r="AC37" s="540">
        <v>0</v>
      </c>
      <c r="AD37" s="540">
        <v>0</v>
      </c>
      <c r="AE37" s="540">
        <v>0</v>
      </c>
      <c r="AF37" s="540">
        <v>0</v>
      </c>
      <c r="AG37" s="540">
        <v>0</v>
      </c>
      <c r="AH37" s="540">
        <v>0</v>
      </c>
      <c r="AI37" s="540">
        <v>0</v>
      </c>
      <c r="AJ37" s="540">
        <v>0</v>
      </c>
      <c r="AK37" s="540">
        <v>0</v>
      </c>
      <c r="AL37" s="540">
        <v>0</v>
      </c>
      <c r="AM37" s="540">
        <v>0</v>
      </c>
      <c r="AN37" s="540">
        <v>0</v>
      </c>
      <c r="AO37" s="540">
        <v>0</v>
      </c>
      <c r="AP37" s="540">
        <v>0</v>
      </c>
      <c r="AQ37" s="540">
        <v>0</v>
      </c>
      <c r="AR37" s="540">
        <v>0</v>
      </c>
      <c r="AS37" s="540">
        <v>0</v>
      </c>
      <c r="AT37" s="540">
        <v>0</v>
      </c>
      <c r="AU37" s="540">
        <v>0</v>
      </c>
      <c r="AV37" s="540">
        <v>0</v>
      </c>
      <c r="AW37" s="540">
        <v>0</v>
      </c>
      <c r="AX37" s="540">
        <v>0</v>
      </c>
      <c r="AY37" s="540">
        <v>0</v>
      </c>
      <c r="AZ37" s="540">
        <v>0</v>
      </c>
      <c r="BA37" s="540">
        <v>0</v>
      </c>
      <c r="BB37" s="540">
        <v>0</v>
      </c>
      <c r="BC37" s="540">
        <v>0</v>
      </c>
      <c r="BD37" s="540">
        <v>0</v>
      </c>
      <c r="BE37" s="540">
        <v>0</v>
      </c>
      <c r="BF37" s="540">
        <v>0</v>
      </c>
      <c r="BG37" s="540">
        <v>0</v>
      </c>
      <c r="BH37" s="540">
        <v>0</v>
      </c>
      <c r="BI37" s="540">
        <v>0</v>
      </c>
      <c r="BJ37" s="540">
        <v>0</v>
      </c>
      <c r="BK37" s="540">
        <v>0</v>
      </c>
      <c r="BL37" s="540">
        <v>0</v>
      </c>
      <c r="BM37" s="540">
        <v>0</v>
      </c>
    </row>
    <row r="38" spans="1:65" ht="16.5" outlineLevel="1" thickBot="1" x14ac:dyDescent="0.3">
      <c r="A38" s="870"/>
      <c r="B38" s="473" t="str">
        <f t="shared" si="5"/>
        <v>Battery Refresh</v>
      </c>
      <c r="C38" s="408">
        <f t="shared" si="6"/>
        <v>138</v>
      </c>
      <c r="D38" s="11"/>
      <c r="E38" s="392">
        <v>0</v>
      </c>
      <c r="F38" s="395">
        <v>0</v>
      </c>
      <c r="G38" s="494">
        <v>0</v>
      </c>
      <c r="H38" s="262">
        <f t="shared" ref="H38:I38" si="13">H15</f>
        <v>138</v>
      </c>
      <c r="I38" s="478">
        <f t="shared" si="13"/>
        <v>318</v>
      </c>
      <c r="K38" s="429" t="str">
        <f t="shared" si="3"/>
        <v>Battery Refresh</v>
      </c>
      <c r="L38" s="513" t="s">
        <v>55</v>
      </c>
      <c r="M38" s="539">
        <f t="shared" si="4"/>
        <v>0</v>
      </c>
      <c r="N38" s="540">
        <v>0</v>
      </c>
      <c r="O38" s="540">
        <v>0</v>
      </c>
      <c r="P38" s="540">
        <v>0</v>
      </c>
      <c r="Q38" s="540">
        <v>0</v>
      </c>
      <c r="R38" s="540">
        <v>0</v>
      </c>
      <c r="S38" s="540">
        <v>0</v>
      </c>
      <c r="T38" s="540">
        <v>0</v>
      </c>
      <c r="U38" s="540">
        <v>0</v>
      </c>
      <c r="V38" s="540">
        <v>0</v>
      </c>
      <c r="W38" s="540">
        <v>0</v>
      </c>
      <c r="X38" s="540">
        <v>402.41249999999997</v>
      </c>
      <c r="Y38" s="540">
        <v>1579.0729893126256</v>
      </c>
      <c r="Z38" s="540">
        <v>1549.0768214063378</v>
      </c>
      <c r="AA38" s="540">
        <v>1519.6504625558391</v>
      </c>
      <c r="AB38" s="540">
        <v>1490.7830886331583</v>
      </c>
      <c r="AC38" s="540">
        <v>1462.464081126127</v>
      </c>
      <c r="AD38" s="540">
        <v>1434.6830232324887</v>
      </c>
      <c r="AE38" s="540">
        <v>1407.4296960282059</v>
      </c>
      <c r="AF38" s="540">
        <v>1380.6940747085509</v>
      </c>
      <c r="AG38" s="540">
        <v>1354.4663249006067</v>
      </c>
      <c r="AH38" s="540">
        <v>1328.7367990458092</v>
      </c>
      <c r="AI38" s="540">
        <v>1303.4960328512136</v>
      </c>
      <c r="AJ38" s="540">
        <v>1278.7347418081661</v>
      </c>
      <c r="AK38" s="540">
        <v>1254.4438177771124</v>
      </c>
      <c r="AL38" s="540">
        <v>1230.6143256372802</v>
      </c>
      <c r="AM38" s="540">
        <v>0</v>
      </c>
      <c r="AN38" s="540">
        <v>0</v>
      </c>
      <c r="AO38" s="540">
        <v>0</v>
      </c>
      <c r="AP38" s="540">
        <v>0</v>
      </c>
      <c r="AQ38" s="540">
        <v>0</v>
      </c>
      <c r="AR38" s="540">
        <v>0</v>
      </c>
      <c r="AS38" s="540">
        <v>0</v>
      </c>
      <c r="AT38" s="540">
        <v>0</v>
      </c>
      <c r="AU38" s="540">
        <v>0</v>
      </c>
      <c r="AV38" s="540">
        <v>0</v>
      </c>
      <c r="AW38" s="540">
        <v>0</v>
      </c>
      <c r="AX38" s="540">
        <v>0</v>
      </c>
      <c r="AY38" s="540">
        <v>0</v>
      </c>
      <c r="AZ38" s="540">
        <v>0</v>
      </c>
      <c r="BA38" s="540">
        <v>0</v>
      </c>
      <c r="BB38" s="540">
        <v>0</v>
      </c>
      <c r="BC38" s="540">
        <v>0</v>
      </c>
      <c r="BD38" s="540">
        <v>0</v>
      </c>
      <c r="BE38" s="540">
        <v>0</v>
      </c>
      <c r="BF38" s="540">
        <v>0</v>
      </c>
      <c r="BG38" s="540">
        <v>0</v>
      </c>
      <c r="BH38" s="540">
        <v>0</v>
      </c>
      <c r="BI38" s="540">
        <v>0</v>
      </c>
      <c r="BJ38" s="540">
        <v>0</v>
      </c>
      <c r="BK38" s="540">
        <v>0</v>
      </c>
      <c r="BL38" s="540">
        <v>0</v>
      </c>
      <c r="BM38" s="540">
        <v>0</v>
      </c>
    </row>
    <row r="39" spans="1:65" ht="16.5" outlineLevel="1" thickBot="1" x14ac:dyDescent="0.3">
      <c r="A39" s="870"/>
      <c r="B39" s="473" t="str">
        <f t="shared" si="5"/>
        <v>Inverter refresh</v>
      </c>
      <c r="C39" s="408">
        <f t="shared" ref="C39" si="14">C26</f>
        <v>0</v>
      </c>
      <c r="D39" s="11"/>
      <c r="E39" s="392">
        <v>0</v>
      </c>
      <c r="F39" s="395">
        <v>0</v>
      </c>
      <c r="G39" s="494">
        <v>0</v>
      </c>
      <c r="H39" s="262">
        <f t="shared" ref="H39:I39" si="15">H26</f>
        <v>0</v>
      </c>
      <c r="I39" s="478">
        <f t="shared" si="15"/>
        <v>240</v>
      </c>
      <c r="K39" s="429" t="str">
        <f t="shared" si="3"/>
        <v>Inverter refresh</v>
      </c>
      <c r="L39" s="513" t="s">
        <v>55</v>
      </c>
      <c r="M39" s="539">
        <f t="shared" si="4"/>
        <v>0</v>
      </c>
      <c r="N39" s="540">
        <v>0</v>
      </c>
      <c r="O39" s="540">
        <v>0</v>
      </c>
      <c r="P39" s="540">
        <v>0</v>
      </c>
      <c r="Q39" s="540">
        <v>0</v>
      </c>
      <c r="R39" s="540">
        <v>0</v>
      </c>
      <c r="S39" s="540">
        <v>0</v>
      </c>
      <c r="T39" s="540">
        <v>0</v>
      </c>
      <c r="U39" s="540">
        <v>0</v>
      </c>
      <c r="V39" s="540">
        <v>0</v>
      </c>
      <c r="W39" s="540">
        <v>0</v>
      </c>
      <c r="X39" s="540">
        <v>0</v>
      </c>
      <c r="Y39" s="540">
        <v>0</v>
      </c>
      <c r="Z39" s="540">
        <v>0</v>
      </c>
      <c r="AA39" s="540">
        <v>0</v>
      </c>
      <c r="AB39" s="540">
        <v>0</v>
      </c>
      <c r="AC39" s="540">
        <v>0</v>
      </c>
      <c r="AD39" s="540">
        <v>0</v>
      </c>
      <c r="AE39" s="540">
        <v>0</v>
      </c>
      <c r="AF39" s="540">
        <v>0</v>
      </c>
      <c r="AG39" s="540">
        <v>0</v>
      </c>
      <c r="AH39" s="540">
        <v>0</v>
      </c>
      <c r="AI39" s="540">
        <v>0</v>
      </c>
      <c r="AJ39" s="540">
        <v>0</v>
      </c>
      <c r="AK39" s="540">
        <v>0</v>
      </c>
      <c r="AL39" s="540">
        <v>0</v>
      </c>
      <c r="AM39" s="540">
        <v>0</v>
      </c>
      <c r="AN39" s="540">
        <v>0</v>
      </c>
      <c r="AO39" s="540">
        <v>0</v>
      </c>
      <c r="AP39" s="540">
        <v>0</v>
      </c>
      <c r="AQ39" s="540">
        <v>0</v>
      </c>
      <c r="AR39" s="540">
        <v>0</v>
      </c>
      <c r="AS39" s="540">
        <v>0</v>
      </c>
      <c r="AT39" s="540">
        <v>0</v>
      </c>
      <c r="AU39" s="540">
        <v>0</v>
      </c>
      <c r="AV39" s="540">
        <v>0</v>
      </c>
      <c r="AW39" s="540">
        <v>0</v>
      </c>
      <c r="AX39" s="540">
        <v>0</v>
      </c>
      <c r="AY39" s="540">
        <v>0</v>
      </c>
      <c r="AZ39" s="540">
        <v>0</v>
      </c>
      <c r="BA39" s="540">
        <v>0</v>
      </c>
      <c r="BB39" s="540">
        <v>0</v>
      </c>
      <c r="BC39" s="540">
        <v>0</v>
      </c>
      <c r="BD39" s="540">
        <v>0</v>
      </c>
      <c r="BE39" s="540">
        <v>0</v>
      </c>
      <c r="BF39" s="540">
        <v>0</v>
      </c>
      <c r="BG39" s="540">
        <v>0</v>
      </c>
      <c r="BH39" s="540">
        <v>0</v>
      </c>
      <c r="BI39" s="540">
        <v>0</v>
      </c>
      <c r="BJ39" s="540">
        <v>0</v>
      </c>
      <c r="BK39" s="540">
        <v>0</v>
      </c>
      <c r="BL39" s="540">
        <v>0</v>
      </c>
      <c r="BM39" s="540">
        <v>0</v>
      </c>
    </row>
    <row r="40" spans="1:65" ht="16.5" outlineLevel="1" thickBot="1" x14ac:dyDescent="0.3">
      <c r="A40" s="871"/>
      <c r="B40" s="473" t="str">
        <f t="shared" si="5"/>
        <v>Unused module</v>
      </c>
      <c r="C40" s="838"/>
      <c r="D40" s="403"/>
      <c r="E40" s="839">
        <v>0</v>
      </c>
      <c r="F40" s="840">
        <v>0</v>
      </c>
      <c r="G40" s="841">
        <v>0</v>
      </c>
      <c r="H40" s="842"/>
      <c r="I40" s="843"/>
      <c r="K40" s="429"/>
      <c r="L40" s="513" t="s">
        <v>55</v>
      </c>
      <c r="M40" s="539">
        <f t="shared" si="4"/>
        <v>0</v>
      </c>
      <c r="N40" s="535">
        <v>0</v>
      </c>
      <c r="O40" s="535">
        <v>0</v>
      </c>
      <c r="P40" s="535">
        <v>0</v>
      </c>
      <c r="Q40" s="535">
        <v>0</v>
      </c>
      <c r="R40" s="535">
        <v>0</v>
      </c>
      <c r="S40" s="535">
        <v>0</v>
      </c>
      <c r="T40" s="535">
        <v>0</v>
      </c>
      <c r="U40" s="535">
        <v>0</v>
      </c>
      <c r="V40" s="535">
        <v>0</v>
      </c>
      <c r="W40" s="535">
        <v>0</v>
      </c>
      <c r="X40" s="535">
        <v>0</v>
      </c>
      <c r="Y40" s="535">
        <v>0</v>
      </c>
      <c r="Z40" s="535">
        <v>0</v>
      </c>
      <c r="AA40" s="535">
        <v>0</v>
      </c>
      <c r="AB40" s="535">
        <v>0</v>
      </c>
      <c r="AC40" s="535">
        <v>0</v>
      </c>
      <c r="AD40" s="535">
        <v>0</v>
      </c>
      <c r="AE40" s="535">
        <v>0</v>
      </c>
      <c r="AF40" s="535">
        <v>0</v>
      </c>
      <c r="AG40" s="535">
        <v>0</v>
      </c>
      <c r="AH40" s="535">
        <v>0</v>
      </c>
      <c r="AI40" s="535">
        <v>0</v>
      </c>
      <c r="AJ40" s="535">
        <v>0</v>
      </c>
      <c r="AK40" s="535">
        <v>0</v>
      </c>
      <c r="AL40" s="535">
        <v>0</v>
      </c>
      <c r="AM40" s="535">
        <v>0</v>
      </c>
      <c r="AN40" s="535">
        <v>0</v>
      </c>
      <c r="AO40" s="535">
        <v>0</v>
      </c>
      <c r="AP40" s="535">
        <v>0</v>
      </c>
      <c r="AQ40" s="535">
        <v>0</v>
      </c>
      <c r="AR40" s="535">
        <v>0</v>
      </c>
      <c r="AS40" s="535">
        <v>0</v>
      </c>
      <c r="AT40" s="535">
        <v>0</v>
      </c>
      <c r="AU40" s="535">
        <v>0</v>
      </c>
      <c r="AV40" s="535">
        <v>0</v>
      </c>
      <c r="AW40" s="535">
        <v>0</v>
      </c>
      <c r="AX40" s="535">
        <v>0</v>
      </c>
      <c r="AY40" s="535">
        <v>0</v>
      </c>
      <c r="AZ40" s="535">
        <v>0</v>
      </c>
      <c r="BA40" s="535">
        <v>0</v>
      </c>
      <c r="BB40" s="535">
        <v>0</v>
      </c>
      <c r="BC40" s="535">
        <v>0</v>
      </c>
      <c r="BD40" s="535">
        <v>0</v>
      </c>
      <c r="BE40" s="535">
        <v>0</v>
      </c>
      <c r="BF40" s="535">
        <v>0</v>
      </c>
      <c r="BG40" s="535">
        <v>0</v>
      </c>
      <c r="BH40" s="535">
        <v>0</v>
      </c>
      <c r="BI40" s="535">
        <v>0</v>
      </c>
      <c r="BJ40" s="535">
        <v>0</v>
      </c>
      <c r="BK40" s="535">
        <v>0</v>
      </c>
      <c r="BL40" s="535">
        <v>0</v>
      </c>
      <c r="BM40" s="535">
        <v>0</v>
      </c>
    </row>
    <row r="41" spans="1:65" ht="16.5" outlineLevel="1" thickBot="1" x14ac:dyDescent="0.3">
      <c r="A41" s="871"/>
      <c r="B41" s="473" t="str">
        <f t="shared" si="5"/>
        <v>Unused module</v>
      </c>
      <c r="C41" s="838"/>
      <c r="D41" s="403"/>
      <c r="E41" s="839">
        <v>0</v>
      </c>
      <c r="F41" s="840">
        <v>0</v>
      </c>
      <c r="G41" s="841">
        <v>0</v>
      </c>
      <c r="H41" s="842"/>
      <c r="I41" s="843"/>
      <c r="K41" s="429"/>
      <c r="L41" s="513" t="s">
        <v>55</v>
      </c>
      <c r="M41" s="539">
        <f t="shared" si="4"/>
        <v>0</v>
      </c>
      <c r="N41" s="535">
        <v>0</v>
      </c>
      <c r="O41" s="535">
        <v>0</v>
      </c>
      <c r="P41" s="535">
        <v>0</v>
      </c>
      <c r="Q41" s="535">
        <v>0</v>
      </c>
      <c r="R41" s="535">
        <v>0</v>
      </c>
      <c r="S41" s="535">
        <v>0</v>
      </c>
      <c r="T41" s="535">
        <v>0</v>
      </c>
      <c r="U41" s="535">
        <v>0</v>
      </c>
      <c r="V41" s="535">
        <v>0</v>
      </c>
      <c r="W41" s="535">
        <v>0</v>
      </c>
      <c r="X41" s="535">
        <v>0</v>
      </c>
      <c r="Y41" s="535">
        <v>0</v>
      </c>
      <c r="Z41" s="535">
        <v>0</v>
      </c>
      <c r="AA41" s="535">
        <v>0</v>
      </c>
      <c r="AB41" s="535">
        <v>0</v>
      </c>
      <c r="AC41" s="535">
        <v>0</v>
      </c>
      <c r="AD41" s="535">
        <v>0</v>
      </c>
      <c r="AE41" s="535">
        <v>0</v>
      </c>
      <c r="AF41" s="535">
        <v>0</v>
      </c>
      <c r="AG41" s="535">
        <v>0</v>
      </c>
      <c r="AH41" s="535">
        <v>0</v>
      </c>
      <c r="AI41" s="535">
        <v>0</v>
      </c>
      <c r="AJ41" s="535">
        <v>0</v>
      </c>
      <c r="AK41" s="535">
        <v>0</v>
      </c>
      <c r="AL41" s="535">
        <v>0</v>
      </c>
      <c r="AM41" s="535">
        <v>0</v>
      </c>
      <c r="AN41" s="535">
        <v>0</v>
      </c>
      <c r="AO41" s="535">
        <v>0</v>
      </c>
      <c r="AP41" s="535">
        <v>0</v>
      </c>
      <c r="AQ41" s="535">
        <v>0</v>
      </c>
      <c r="AR41" s="535">
        <v>0</v>
      </c>
      <c r="AS41" s="535">
        <v>0</v>
      </c>
      <c r="AT41" s="535">
        <v>0</v>
      </c>
      <c r="AU41" s="535">
        <v>0</v>
      </c>
      <c r="AV41" s="535">
        <v>0</v>
      </c>
      <c r="AW41" s="535">
        <v>0</v>
      </c>
      <c r="AX41" s="535">
        <v>0</v>
      </c>
      <c r="AY41" s="535">
        <v>0</v>
      </c>
      <c r="AZ41" s="535">
        <v>0</v>
      </c>
      <c r="BA41" s="535">
        <v>0</v>
      </c>
      <c r="BB41" s="535">
        <v>0</v>
      </c>
      <c r="BC41" s="535">
        <v>0</v>
      </c>
      <c r="BD41" s="535">
        <v>0</v>
      </c>
      <c r="BE41" s="535">
        <v>0</v>
      </c>
      <c r="BF41" s="535">
        <v>0</v>
      </c>
      <c r="BG41" s="535">
        <v>0</v>
      </c>
      <c r="BH41" s="535">
        <v>0</v>
      </c>
      <c r="BI41" s="535">
        <v>0</v>
      </c>
      <c r="BJ41" s="535">
        <v>0</v>
      </c>
      <c r="BK41" s="535">
        <v>0</v>
      </c>
      <c r="BL41" s="535">
        <v>0</v>
      </c>
      <c r="BM41" s="535">
        <v>0</v>
      </c>
    </row>
    <row r="42" spans="1:65" ht="16.5" outlineLevel="1" thickBot="1" x14ac:dyDescent="0.3">
      <c r="A42" s="871"/>
      <c r="B42" s="473" t="str">
        <f t="shared" si="5"/>
        <v>Unused module</v>
      </c>
      <c r="C42" s="838"/>
      <c r="D42" s="403"/>
      <c r="E42" s="839">
        <v>0</v>
      </c>
      <c r="F42" s="840">
        <v>0</v>
      </c>
      <c r="G42" s="841">
        <v>0</v>
      </c>
      <c r="H42" s="842"/>
      <c r="I42" s="843"/>
      <c r="K42" s="429"/>
      <c r="L42" s="513" t="s">
        <v>55</v>
      </c>
      <c r="M42" s="539">
        <f t="shared" si="4"/>
        <v>0</v>
      </c>
      <c r="N42" s="535">
        <v>0</v>
      </c>
      <c r="O42" s="535">
        <v>0</v>
      </c>
      <c r="P42" s="535">
        <v>0</v>
      </c>
      <c r="Q42" s="535">
        <v>0</v>
      </c>
      <c r="R42" s="535">
        <v>0</v>
      </c>
      <c r="S42" s="535">
        <v>0</v>
      </c>
      <c r="T42" s="535">
        <v>0</v>
      </c>
      <c r="U42" s="535">
        <v>0</v>
      </c>
      <c r="V42" s="535">
        <v>0</v>
      </c>
      <c r="W42" s="535">
        <v>0</v>
      </c>
      <c r="X42" s="535">
        <v>0</v>
      </c>
      <c r="Y42" s="535">
        <v>0</v>
      </c>
      <c r="Z42" s="535">
        <v>0</v>
      </c>
      <c r="AA42" s="535">
        <v>0</v>
      </c>
      <c r="AB42" s="535">
        <v>0</v>
      </c>
      <c r="AC42" s="535">
        <v>0</v>
      </c>
      <c r="AD42" s="535">
        <v>0</v>
      </c>
      <c r="AE42" s="535">
        <v>0</v>
      </c>
      <c r="AF42" s="535">
        <v>0</v>
      </c>
      <c r="AG42" s="535">
        <v>0</v>
      </c>
      <c r="AH42" s="535">
        <v>0</v>
      </c>
      <c r="AI42" s="535">
        <v>0</v>
      </c>
      <c r="AJ42" s="535">
        <v>0</v>
      </c>
      <c r="AK42" s="535">
        <v>0</v>
      </c>
      <c r="AL42" s="535">
        <v>0</v>
      </c>
      <c r="AM42" s="535">
        <v>0</v>
      </c>
      <c r="AN42" s="535">
        <v>0</v>
      </c>
      <c r="AO42" s="535">
        <v>0</v>
      </c>
      <c r="AP42" s="535">
        <v>0</v>
      </c>
      <c r="AQ42" s="535">
        <v>0</v>
      </c>
      <c r="AR42" s="535">
        <v>0</v>
      </c>
      <c r="AS42" s="535">
        <v>0</v>
      </c>
      <c r="AT42" s="535">
        <v>0</v>
      </c>
      <c r="AU42" s="535">
        <v>0</v>
      </c>
      <c r="AV42" s="535">
        <v>0</v>
      </c>
      <c r="AW42" s="535">
        <v>0</v>
      </c>
      <c r="AX42" s="535">
        <v>0</v>
      </c>
      <c r="AY42" s="535">
        <v>0</v>
      </c>
      <c r="AZ42" s="535">
        <v>0</v>
      </c>
      <c r="BA42" s="535">
        <v>0</v>
      </c>
      <c r="BB42" s="535">
        <v>0</v>
      </c>
      <c r="BC42" s="535">
        <v>0</v>
      </c>
      <c r="BD42" s="535">
        <v>0</v>
      </c>
      <c r="BE42" s="535">
        <v>0</v>
      </c>
      <c r="BF42" s="535">
        <v>0</v>
      </c>
      <c r="BG42" s="535">
        <v>0</v>
      </c>
      <c r="BH42" s="535">
        <v>0</v>
      </c>
      <c r="BI42" s="535">
        <v>0</v>
      </c>
      <c r="BJ42" s="535">
        <v>0</v>
      </c>
      <c r="BK42" s="535">
        <v>0</v>
      </c>
      <c r="BL42" s="535">
        <v>0</v>
      </c>
      <c r="BM42" s="535">
        <v>0</v>
      </c>
    </row>
    <row r="43" spans="1:65" ht="16.5" outlineLevel="1" thickBot="1" x14ac:dyDescent="0.3">
      <c r="A43" s="871"/>
      <c r="B43" s="473" t="str">
        <f t="shared" si="5"/>
        <v>Unused module</v>
      </c>
      <c r="C43" s="838"/>
      <c r="D43" s="403"/>
      <c r="E43" s="839">
        <v>0</v>
      </c>
      <c r="F43" s="840">
        <v>0</v>
      </c>
      <c r="G43" s="841">
        <v>0</v>
      </c>
      <c r="H43" s="842"/>
      <c r="I43" s="843"/>
      <c r="K43" s="429"/>
      <c r="L43" s="513" t="s">
        <v>55</v>
      </c>
      <c r="M43" s="539">
        <f t="shared" si="4"/>
        <v>0</v>
      </c>
      <c r="N43" s="535">
        <v>0</v>
      </c>
      <c r="O43" s="535">
        <v>0</v>
      </c>
      <c r="P43" s="535">
        <v>0</v>
      </c>
      <c r="Q43" s="535">
        <v>0</v>
      </c>
      <c r="R43" s="535">
        <v>0</v>
      </c>
      <c r="S43" s="535">
        <v>0</v>
      </c>
      <c r="T43" s="535">
        <v>0</v>
      </c>
      <c r="U43" s="535">
        <v>0</v>
      </c>
      <c r="V43" s="535">
        <v>0</v>
      </c>
      <c r="W43" s="535">
        <v>0</v>
      </c>
      <c r="X43" s="535">
        <v>0</v>
      </c>
      <c r="Y43" s="535">
        <v>0</v>
      </c>
      <c r="Z43" s="535">
        <v>0</v>
      </c>
      <c r="AA43" s="535">
        <v>0</v>
      </c>
      <c r="AB43" s="535">
        <v>0</v>
      </c>
      <c r="AC43" s="535">
        <v>0</v>
      </c>
      <c r="AD43" s="535">
        <v>0</v>
      </c>
      <c r="AE43" s="535">
        <v>0</v>
      </c>
      <c r="AF43" s="535">
        <v>0</v>
      </c>
      <c r="AG43" s="535">
        <v>0</v>
      </c>
      <c r="AH43" s="535">
        <v>0</v>
      </c>
      <c r="AI43" s="535">
        <v>0</v>
      </c>
      <c r="AJ43" s="535">
        <v>0</v>
      </c>
      <c r="AK43" s="535">
        <v>0</v>
      </c>
      <c r="AL43" s="535">
        <v>0</v>
      </c>
      <c r="AM43" s="535">
        <v>0</v>
      </c>
      <c r="AN43" s="535">
        <v>0</v>
      </c>
      <c r="AO43" s="535">
        <v>0</v>
      </c>
      <c r="AP43" s="535">
        <v>0</v>
      </c>
      <c r="AQ43" s="535">
        <v>0</v>
      </c>
      <c r="AR43" s="535">
        <v>0</v>
      </c>
      <c r="AS43" s="535">
        <v>0</v>
      </c>
      <c r="AT43" s="535">
        <v>0</v>
      </c>
      <c r="AU43" s="535">
        <v>0</v>
      </c>
      <c r="AV43" s="535">
        <v>0</v>
      </c>
      <c r="AW43" s="535">
        <v>0</v>
      </c>
      <c r="AX43" s="535">
        <v>0</v>
      </c>
      <c r="AY43" s="535">
        <v>0</v>
      </c>
      <c r="AZ43" s="535">
        <v>0</v>
      </c>
      <c r="BA43" s="535">
        <v>0</v>
      </c>
      <c r="BB43" s="535">
        <v>0</v>
      </c>
      <c r="BC43" s="535">
        <v>0</v>
      </c>
      <c r="BD43" s="535">
        <v>0</v>
      </c>
      <c r="BE43" s="535">
        <v>0</v>
      </c>
      <c r="BF43" s="535">
        <v>0</v>
      </c>
      <c r="BG43" s="535">
        <v>0</v>
      </c>
      <c r="BH43" s="535">
        <v>0</v>
      </c>
      <c r="BI43" s="535">
        <v>0</v>
      </c>
      <c r="BJ43" s="535">
        <v>0</v>
      </c>
      <c r="BK43" s="535">
        <v>0</v>
      </c>
      <c r="BL43" s="535">
        <v>0</v>
      </c>
      <c r="BM43" s="535">
        <v>0</v>
      </c>
    </row>
    <row r="44" spans="1:65" ht="16.5" outlineLevel="1" thickBot="1" x14ac:dyDescent="0.3">
      <c r="A44" s="871"/>
      <c r="B44" s="473" t="str">
        <f t="shared" si="5"/>
        <v>Unused module</v>
      </c>
      <c r="C44" s="838"/>
      <c r="D44" s="403"/>
      <c r="E44" s="839">
        <v>0</v>
      </c>
      <c r="F44" s="840">
        <v>0</v>
      </c>
      <c r="G44" s="841">
        <v>0</v>
      </c>
      <c r="H44" s="842"/>
      <c r="I44" s="843"/>
      <c r="K44" s="429"/>
      <c r="L44" s="513" t="s">
        <v>55</v>
      </c>
      <c r="M44" s="539">
        <f t="shared" si="4"/>
        <v>0</v>
      </c>
      <c r="N44" s="535">
        <v>0</v>
      </c>
      <c r="O44" s="535">
        <v>0</v>
      </c>
      <c r="P44" s="535">
        <v>0</v>
      </c>
      <c r="Q44" s="535">
        <v>0</v>
      </c>
      <c r="R44" s="535">
        <v>0</v>
      </c>
      <c r="S44" s="535">
        <v>0</v>
      </c>
      <c r="T44" s="535">
        <v>0</v>
      </c>
      <c r="U44" s="535">
        <v>0</v>
      </c>
      <c r="V44" s="535">
        <v>0</v>
      </c>
      <c r="W44" s="535">
        <v>0</v>
      </c>
      <c r="X44" s="535">
        <v>0</v>
      </c>
      <c r="Y44" s="535">
        <v>0</v>
      </c>
      <c r="Z44" s="535">
        <v>0</v>
      </c>
      <c r="AA44" s="535">
        <v>0</v>
      </c>
      <c r="AB44" s="535">
        <v>0</v>
      </c>
      <c r="AC44" s="535">
        <v>0</v>
      </c>
      <c r="AD44" s="535">
        <v>0</v>
      </c>
      <c r="AE44" s="535">
        <v>0</v>
      </c>
      <c r="AF44" s="535">
        <v>0</v>
      </c>
      <c r="AG44" s="535">
        <v>0</v>
      </c>
      <c r="AH44" s="535">
        <v>0</v>
      </c>
      <c r="AI44" s="535">
        <v>0</v>
      </c>
      <c r="AJ44" s="535">
        <v>0</v>
      </c>
      <c r="AK44" s="535">
        <v>0</v>
      </c>
      <c r="AL44" s="535">
        <v>0</v>
      </c>
      <c r="AM44" s="535">
        <v>0</v>
      </c>
      <c r="AN44" s="535">
        <v>0</v>
      </c>
      <c r="AO44" s="535">
        <v>0</v>
      </c>
      <c r="AP44" s="535">
        <v>0</v>
      </c>
      <c r="AQ44" s="535">
        <v>0</v>
      </c>
      <c r="AR44" s="535">
        <v>0</v>
      </c>
      <c r="AS44" s="535">
        <v>0</v>
      </c>
      <c r="AT44" s="535">
        <v>0</v>
      </c>
      <c r="AU44" s="535">
        <v>0</v>
      </c>
      <c r="AV44" s="535">
        <v>0</v>
      </c>
      <c r="AW44" s="535">
        <v>0</v>
      </c>
      <c r="AX44" s="535">
        <v>0</v>
      </c>
      <c r="AY44" s="535">
        <v>0</v>
      </c>
      <c r="AZ44" s="535">
        <v>0</v>
      </c>
      <c r="BA44" s="535">
        <v>0</v>
      </c>
      <c r="BB44" s="535">
        <v>0</v>
      </c>
      <c r="BC44" s="535">
        <v>0</v>
      </c>
      <c r="BD44" s="535">
        <v>0</v>
      </c>
      <c r="BE44" s="535">
        <v>0</v>
      </c>
      <c r="BF44" s="535">
        <v>0</v>
      </c>
      <c r="BG44" s="535">
        <v>0</v>
      </c>
      <c r="BH44" s="535">
        <v>0</v>
      </c>
      <c r="BI44" s="535">
        <v>0</v>
      </c>
      <c r="BJ44" s="535">
        <v>0</v>
      </c>
      <c r="BK44" s="535">
        <v>0</v>
      </c>
      <c r="BL44" s="535">
        <v>0</v>
      </c>
      <c r="BM44" s="535">
        <v>0</v>
      </c>
    </row>
    <row r="45" spans="1:65" ht="16.5" outlineLevel="1" thickBot="1" x14ac:dyDescent="0.3">
      <c r="A45" s="871"/>
      <c r="B45" s="473" t="str">
        <f t="shared" si="5"/>
        <v>Unused module</v>
      </c>
      <c r="C45" s="838"/>
      <c r="D45" s="403"/>
      <c r="E45" s="839">
        <v>0</v>
      </c>
      <c r="F45" s="840">
        <v>0</v>
      </c>
      <c r="G45" s="841">
        <v>0</v>
      </c>
      <c r="H45" s="842"/>
      <c r="I45" s="843"/>
      <c r="K45" s="429"/>
      <c r="L45" s="513" t="s">
        <v>55</v>
      </c>
      <c r="M45" s="539">
        <f t="shared" si="4"/>
        <v>0</v>
      </c>
      <c r="N45" s="535">
        <v>0</v>
      </c>
      <c r="O45" s="535">
        <v>0</v>
      </c>
      <c r="P45" s="535">
        <v>0</v>
      </c>
      <c r="Q45" s="535">
        <v>0</v>
      </c>
      <c r="R45" s="535">
        <v>0</v>
      </c>
      <c r="S45" s="535">
        <v>0</v>
      </c>
      <c r="T45" s="535">
        <v>0</v>
      </c>
      <c r="U45" s="535">
        <v>0</v>
      </c>
      <c r="V45" s="535">
        <v>0</v>
      </c>
      <c r="W45" s="535">
        <v>0</v>
      </c>
      <c r="X45" s="535">
        <v>0</v>
      </c>
      <c r="Y45" s="535">
        <v>0</v>
      </c>
      <c r="Z45" s="535">
        <v>0</v>
      </c>
      <c r="AA45" s="535">
        <v>0</v>
      </c>
      <c r="AB45" s="535">
        <v>0</v>
      </c>
      <c r="AC45" s="535">
        <v>0</v>
      </c>
      <c r="AD45" s="535">
        <v>0</v>
      </c>
      <c r="AE45" s="535">
        <v>0</v>
      </c>
      <c r="AF45" s="535">
        <v>0</v>
      </c>
      <c r="AG45" s="535">
        <v>0</v>
      </c>
      <c r="AH45" s="535">
        <v>0</v>
      </c>
      <c r="AI45" s="535">
        <v>0</v>
      </c>
      <c r="AJ45" s="535">
        <v>0</v>
      </c>
      <c r="AK45" s="535">
        <v>0</v>
      </c>
      <c r="AL45" s="535">
        <v>0</v>
      </c>
      <c r="AM45" s="535">
        <v>0</v>
      </c>
      <c r="AN45" s="535">
        <v>0</v>
      </c>
      <c r="AO45" s="535">
        <v>0</v>
      </c>
      <c r="AP45" s="535">
        <v>0</v>
      </c>
      <c r="AQ45" s="535">
        <v>0</v>
      </c>
      <c r="AR45" s="535">
        <v>0</v>
      </c>
      <c r="AS45" s="535">
        <v>0</v>
      </c>
      <c r="AT45" s="535">
        <v>0</v>
      </c>
      <c r="AU45" s="535">
        <v>0</v>
      </c>
      <c r="AV45" s="535">
        <v>0</v>
      </c>
      <c r="AW45" s="535">
        <v>0</v>
      </c>
      <c r="AX45" s="535">
        <v>0</v>
      </c>
      <c r="AY45" s="535">
        <v>0</v>
      </c>
      <c r="AZ45" s="535">
        <v>0</v>
      </c>
      <c r="BA45" s="535">
        <v>0</v>
      </c>
      <c r="BB45" s="535">
        <v>0</v>
      </c>
      <c r="BC45" s="535">
        <v>0</v>
      </c>
      <c r="BD45" s="535">
        <v>0</v>
      </c>
      <c r="BE45" s="535">
        <v>0</v>
      </c>
      <c r="BF45" s="535">
        <v>0</v>
      </c>
      <c r="BG45" s="535">
        <v>0</v>
      </c>
      <c r="BH45" s="535">
        <v>0</v>
      </c>
      <c r="BI45" s="535">
        <v>0</v>
      </c>
      <c r="BJ45" s="535">
        <v>0</v>
      </c>
      <c r="BK45" s="535">
        <v>0</v>
      </c>
      <c r="BL45" s="535">
        <v>0</v>
      </c>
      <c r="BM45" s="535">
        <v>0</v>
      </c>
    </row>
    <row r="46" spans="1:65" ht="16.5" outlineLevel="1" thickBot="1" x14ac:dyDescent="0.3">
      <c r="A46" s="871"/>
      <c r="B46" s="473" t="str">
        <f t="shared" si="5"/>
        <v>Unused module</v>
      </c>
      <c r="C46" s="838"/>
      <c r="D46" s="403"/>
      <c r="E46" s="839">
        <v>0</v>
      </c>
      <c r="F46" s="840">
        <v>0</v>
      </c>
      <c r="G46" s="841">
        <v>0</v>
      </c>
      <c r="H46" s="842"/>
      <c r="I46" s="843"/>
      <c r="K46" s="429"/>
      <c r="L46" s="513" t="s">
        <v>55</v>
      </c>
      <c r="M46" s="539">
        <f t="shared" si="4"/>
        <v>0</v>
      </c>
      <c r="N46" s="535">
        <v>0</v>
      </c>
      <c r="O46" s="535">
        <v>0</v>
      </c>
      <c r="P46" s="535">
        <v>0</v>
      </c>
      <c r="Q46" s="535">
        <v>0</v>
      </c>
      <c r="R46" s="535">
        <v>0</v>
      </c>
      <c r="S46" s="535">
        <v>0</v>
      </c>
      <c r="T46" s="535">
        <v>0</v>
      </c>
      <c r="U46" s="535">
        <v>0</v>
      </c>
      <c r="V46" s="535">
        <v>0</v>
      </c>
      <c r="W46" s="535">
        <v>0</v>
      </c>
      <c r="X46" s="535">
        <v>0</v>
      </c>
      <c r="Y46" s="535">
        <v>0</v>
      </c>
      <c r="Z46" s="535">
        <v>0</v>
      </c>
      <c r="AA46" s="535">
        <v>0</v>
      </c>
      <c r="AB46" s="535">
        <v>0</v>
      </c>
      <c r="AC46" s="535">
        <v>0</v>
      </c>
      <c r="AD46" s="535">
        <v>0</v>
      </c>
      <c r="AE46" s="535">
        <v>0</v>
      </c>
      <c r="AF46" s="535">
        <v>0</v>
      </c>
      <c r="AG46" s="535">
        <v>0</v>
      </c>
      <c r="AH46" s="535">
        <v>0</v>
      </c>
      <c r="AI46" s="535">
        <v>0</v>
      </c>
      <c r="AJ46" s="535">
        <v>0</v>
      </c>
      <c r="AK46" s="535">
        <v>0</v>
      </c>
      <c r="AL46" s="535">
        <v>0</v>
      </c>
      <c r="AM46" s="535">
        <v>0</v>
      </c>
      <c r="AN46" s="535">
        <v>0</v>
      </c>
      <c r="AO46" s="535">
        <v>0</v>
      </c>
      <c r="AP46" s="535">
        <v>0</v>
      </c>
      <c r="AQ46" s="535">
        <v>0</v>
      </c>
      <c r="AR46" s="535">
        <v>0</v>
      </c>
      <c r="AS46" s="535">
        <v>0</v>
      </c>
      <c r="AT46" s="535">
        <v>0</v>
      </c>
      <c r="AU46" s="535">
        <v>0</v>
      </c>
      <c r="AV46" s="535">
        <v>0</v>
      </c>
      <c r="AW46" s="535">
        <v>0</v>
      </c>
      <c r="AX46" s="535">
        <v>0</v>
      </c>
      <c r="AY46" s="535">
        <v>0</v>
      </c>
      <c r="AZ46" s="535">
        <v>0</v>
      </c>
      <c r="BA46" s="535">
        <v>0</v>
      </c>
      <c r="BB46" s="535">
        <v>0</v>
      </c>
      <c r="BC46" s="535">
        <v>0</v>
      </c>
      <c r="BD46" s="535">
        <v>0</v>
      </c>
      <c r="BE46" s="535">
        <v>0</v>
      </c>
      <c r="BF46" s="535">
        <v>0</v>
      </c>
      <c r="BG46" s="535">
        <v>0</v>
      </c>
      <c r="BH46" s="535">
        <v>0</v>
      </c>
      <c r="BI46" s="535">
        <v>0</v>
      </c>
      <c r="BJ46" s="535">
        <v>0</v>
      </c>
      <c r="BK46" s="535">
        <v>0</v>
      </c>
      <c r="BL46" s="535">
        <v>0</v>
      </c>
      <c r="BM46" s="535">
        <v>0</v>
      </c>
    </row>
    <row r="47" spans="1:65" ht="16.5" outlineLevel="1" thickBot="1" x14ac:dyDescent="0.3">
      <c r="A47" s="871"/>
      <c r="B47" s="473" t="str">
        <f t="shared" si="5"/>
        <v>Unused module</v>
      </c>
      <c r="C47" s="838"/>
      <c r="D47" s="403"/>
      <c r="E47" s="839">
        <v>0</v>
      </c>
      <c r="F47" s="840">
        <v>0</v>
      </c>
      <c r="G47" s="841">
        <v>0</v>
      </c>
      <c r="H47" s="842"/>
      <c r="I47" s="843"/>
      <c r="K47" s="429"/>
      <c r="L47" s="513" t="s">
        <v>55</v>
      </c>
      <c r="M47" s="539">
        <f t="shared" si="4"/>
        <v>0</v>
      </c>
      <c r="N47" s="535">
        <v>0</v>
      </c>
      <c r="O47" s="535">
        <v>0</v>
      </c>
      <c r="P47" s="535">
        <v>0</v>
      </c>
      <c r="Q47" s="535">
        <v>0</v>
      </c>
      <c r="R47" s="535">
        <v>0</v>
      </c>
      <c r="S47" s="535">
        <v>0</v>
      </c>
      <c r="T47" s="535">
        <v>0</v>
      </c>
      <c r="U47" s="535">
        <v>0</v>
      </c>
      <c r="V47" s="535">
        <v>0</v>
      </c>
      <c r="W47" s="535">
        <v>0</v>
      </c>
      <c r="X47" s="535">
        <v>0</v>
      </c>
      <c r="Y47" s="535">
        <v>0</v>
      </c>
      <c r="Z47" s="535">
        <v>0</v>
      </c>
      <c r="AA47" s="535">
        <v>0</v>
      </c>
      <c r="AB47" s="535">
        <v>0</v>
      </c>
      <c r="AC47" s="535">
        <v>0</v>
      </c>
      <c r="AD47" s="535">
        <v>0</v>
      </c>
      <c r="AE47" s="535">
        <v>0</v>
      </c>
      <c r="AF47" s="535">
        <v>0</v>
      </c>
      <c r="AG47" s="535">
        <v>0</v>
      </c>
      <c r="AH47" s="535">
        <v>0</v>
      </c>
      <c r="AI47" s="535">
        <v>0</v>
      </c>
      <c r="AJ47" s="535">
        <v>0</v>
      </c>
      <c r="AK47" s="535">
        <v>0</v>
      </c>
      <c r="AL47" s="535">
        <v>0</v>
      </c>
      <c r="AM47" s="535">
        <v>0</v>
      </c>
      <c r="AN47" s="535">
        <v>0</v>
      </c>
      <c r="AO47" s="535">
        <v>0</v>
      </c>
      <c r="AP47" s="535">
        <v>0</v>
      </c>
      <c r="AQ47" s="535">
        <v>0</v>
      </c>
      <c r="AR47" s="535">
        <v>0</v>
      </c>
      <c r="AS47" s="535">
        <v>0</v>
      </c>
      <c r="AT47" s="535">
        <v>0</v>
      </c>
      <c r="AU47" s="535">
        <v>0</v>
      </c>
      <c r="AV47" s="535">
        <v>0</v>
      </c>
      <c r="AW47" s="535">
        <v>0</v>
      </c>
      <c r="AX47" s="535">
        <v>0</v>
      </c>
      <c r="AY47" s="535">
        <v>0</v>
      </c>
      <c r="AZ47" s="535">
        <v>0</v>
      </c>
      <c r="BA47" s="535">
        <v>0</v>
      </c>
      <c r="BB47" s="535">
        <v>0</v>
      </c>
      <c r="BC47" s="535">
        <v>0</v>
      </c>
      <c r="BD47" s="535">
        <v>0</v>
      </c>
      <c r="BE47" s="535">
        <v>0</v>
      </c>
      <c r="BF47" s="535">
        <v>0</v>
      </c>
      <c r="BG47" s="535">
        <v>0</v>
      </c>
      <c r="BH47" s="535">
        <v>0</v>
      </c>
      <c r="BI47" s="535">
        <v>0</v>
      </c>
      <c r="BJ47" s="535">
        <v>0</v>
      </c>
      <c r="BK47" s="535">
        <v>0</v>
      </c>
      <c r="BL47" s="535">
        <v>0</v>
      </c>
      <c r="BM47" s="535">
        <v>0</v>
      </c>
    </row>
    <row r="48" spans="1:65" ht="16.5" outlineLevel="1" thickBot="1" x14ac:dyDescent="0.3">
      <c r="A48" s="871"/>
      <c r="B48" s="473" t="str">
        <f t="shared" si="5"/>
        <v>Unused module</v>
      </c>
      <c r="C48" s="838"/>
      <c r="D48" s="403"/>
      <c r="E48" s="839">
        <v>0</v>
      </c>
      <c r="F48" s="840">
        <v>0</v>
      </c>
      <c r="G48" s="841">
        <v>0</v>
      </c>
      <c r="H48" s="842"/>
      <c r="I48" s="843"/>
      <c r="K48" s="429"/>
      <c r="L48" s="513" t="s">
        <v>55</v>
      </c>
      <c r="M48" s="539">
        <f t="shared" si="4"/>
        <v>0</v>
      </c>
      <c r="N48" s="535">
        <v>0</v>
      </c>
      <c r="O48" s="535">
        <v>0</v>
      </c>
      <c r="P48" s="535">
        <v>0</v>
      </c>
      <c r="Q48" s="535">
        <v>0</v>
      </c>
      <c r="R48" s="535">
        <v>0</v>
      </c>
      <c r="S48" s="535">
        <v>0</v>
      </c>
      <c r="T48" s="535">
        <v>0</v>
      </c>
      <c r="U48" s="535">
        <v>0</v>
      </c>
      <c r="V48" s="535">
        <v>0</v>
      </c>
      <c r="W48" s="535">
        <v>0</v>
      </c>
      <c r="X48" s="535">
        <v>0</v>
      </c>
      <c r="Y48" s="535">
        <v>0</v>
      </c>
      <c r="Z48" s="535">
        <v>0</v>
      </c>
      <c r="AA48" s="535">
        <v>0</v>
      </c>
      <c r="AB48" s="535">
        <v>0</v>
      </c>
      <c r="AC48" s="535">
        <v>0</v>
      </c>
      <c r="AD48" s="535">
        <v>0</v>
      </c>
      <c r="AE48" s="535">
        <v>0</v>
      </c>
      <c r="AF48" s="535">
        <v>0</v>
      </c>
      <c r="AG48" s="535">
        <v>0</v>
      </c>
      <c r="AH48" s="535">
        <v>0</v>
      </c>
      <c r="AI48" s="535">
        <v>0</v>
      </c>
      <c r="AJ48" s="535">
        <v>0</v>
      </c>
      <c r="AK48" s="535">
        <v>0</v>
      </c>
      <c r="AL48" s="535">
        <v>0</v>
      </c>
      <c r="AM48" s="535">
        <v>0</v>
      </c>
      <c r="AN48" s="535">
        <v>0</v>
      </c>
      <c r="AO48" s="535">
        <v>0</v>
      </c>
      <c r="AP48" s="535">
        <v>0</v>
      </c>
      <c r="AQ48" s="535">
        <v>0</v>
      </c>
      <c r="AR48" s="535">
        <v>0</v>
      </c>
      <c r="AS48" s="535">
        <v>0</v>
      </c>
      <c r="AT48" s="535">
        <v>0</v>
      </c>
      <c r="AU48" s="535">
        <v>0</v>
      </c>
      <c r="AV48" s="535">
        <v>0</v>
      </c>
      <c r="AW48" s="535">
        <v>0</v>
      </c>
      <c r="AX48" s="535">
        <v>0</v>
      </c>
      <c r="AY48" s="535">
        <v>0</v>
      </c>
      <c r="AZ48" s="535">
        <v>0</v>
      </c>
      <c r="BA48" s="535">
        <v>0</v>
      </c>
      <c r="BB48" s="535">
        <v>0</v>
      </c>
      <c r="BC48" s="535">
        <v>0</v>
      </c>
      <c r="BD48" s="535">
        <v>0</v>
      </c>
      <c r="BE48" s="535">
        <v>0</v>
      </c>
      <c r="BF48" s="535">
        <v>0</v>
      </c>
      <c r="BG48" s="535">
        <v>0</v>
      </c>
      <c r="BH48" s="535">
        <v>0</v>
      </c>
      <c r="BI48" s="535">
        <v>0</v>
      </c>
      <c r="BJ48" s="535">
        <v>0</v>
      </c>
      <c r="BK48" s="535">
        <v>0</v>
      </c>
      <c r="BL48" s="535">
        <v>0</v>
      </c>
      <c r="BM48" s="535">
        <v>0</v>
      </c>
    </row>
    <row r="49" spans="1:65" ht="16.5" outlineLevel="1" thickBot="1" x14ac:dyDescent="0.3">
      <c r="A49" s="871"/>
      <c r="B49" s="473" t="str">
        <f t="shared" si="5"/>
        <v>Unused module</v>
      </c>
      <c r="C49" s="838"/>
      <c r="D49" s="403"/>
      <c r="E49" s="839">
        <v>0</v>
      </c>
      <c r="F49" s="840">
        <v>0</v>
      </c>
      <c r="G49" s="841">
        <v>0</v>
      </c>
      <c r="H49" s="842"/>
      <c r="I49" s="843"/>
      <c r="K49" s="429"/>
      <c r="L49" s="513" t="s">
        <v>55</v>
      </c>
      <c r="M49" s="539">
        <f t="shared" si="4"/>
        <v>0</v>
      </c>
      <c r="N49" s="535">
        <v>0</v>
      </c>
      <c r="O49" s="535">
        <v>0</v>
      </c>
      <c r="P49" s="535">
        <v>0</v>
      </c>
      <c r="Q49" s="535">
        <v>0</v>
      </c>
      <c r="R49" s="535">
        <v>0</v>
      </c>
      <c r="S49" s="535">
        <v>0</v>
      </c>
      <c r="T49" s="535">
        <v>0</v>
      </c>
      <c r="U49" s="535">
        <v>0</v>
      </c>
      <c r="V49" s="535">
        <v>0</v>
      </c>
      <c r="W49" s="535">
        <v>0</v>
      </c>
      <c r="X49" s="535">
        <v>0</v>
      </c>
      <c r="Y49" s="535">
        <v>0</v>
      </c>
      <c r="Z49" s="535">
        <v>0</v>
      </c>
      <c r="AA49" s="535">
        <v>0</v>
      </c>
      <c r="AB49" s="535">
        <v>0</v>
      </c>
      <c r="AC49" s="535">
        <v>0</v>
      </c>
      <c r="AD49" s="535">
        <v>0</v>
      </c>
      <c r="AE49" s="535">
        <v>0</v>
      </c>
      <c r="AF49" s="535">
        <v>0</v>
      </c>
      <c r="AG49" s="535">
        <v>0</v>
      </c>
      <c r="AH49" s="535">
        <v>0</v>
      </c>
      <c r="AI49" s="535">
        <v>0</v>
      </c>
      <c r="AJ49" s="535">
        <v>0</v>
      </c>
      <c r="AK49" s="535">
        <v>0</v>
      </c>
      <c r="AL49" s="535">
        <v>0</v>
      </c>
      <c r="AM49" s="535">
        <v>0</v>
      </c>
      <c r="AN49" s="535">
        <v>0</v>
      </c>
      <c r="AO49" s="535">
        <v>0</v>
      </c>
      <c r="AP49" s="535">
        <v>0</v>
      </c>
      <c r="AQ49" s="535">
        <v>0</v>
      </c>
      <c r="AR49" s="535">
        <v>0</v>
      </c>
      <c r="AS49" s="535">
        <v>0</v>
      </c>
      <c r="AT49" s="535">
        <v>0</v>
      </c>
      <c r="AU49" s="535">
        <v>0</v>
      </c>
      <c r="AV49" s="535">
        <v>0</v>
      </c>
      <c r="AW49" s="535">
        <v>0</v>
      </c>
      <c r="AX49" s="535">
        <v>0</v>
      </c>
      <c r="AY49" s="535">
        <v>0</v>
      </c>
      <c r="AZ49" s="535">
        <v>0</v>
      </c>
      <c r="BA49" s="535">
        <v>0</v>
      </c>
      <c r="BB49" s="535">
        <v>0</v>
      </c>
      <c r="BC49" s="535">
        <v>0</v>
      </c>
      <c r="BD49" s="535">
        <v>0</v>
      </c>
      <c r="BE49" s="535">
        <v>0</v>
      </c>
      <c r="BF49" s="535">
        <v>0</v>
      </c>
      <c r="BG49" s="535">
        <v>0</v>
      </c>
      <c r="BH49" s="535">
        <v>0</v>
      </c>
      <c r="BI49" s="535">
        <v>0</v>
      </c>
      <c r="BJ49" s="535">
        <v>0</v>
      </c>
      <c r="BK49" s="535">
        <v>0</v>
      </c>
      <c r="BL49" s="535">
        <v>0</v>
      </c>
      <c r="BM49" s="535">
        <v>0</v>
      </c>
    </row>
    <row r="50" spans="1:65" ht="16.5" outlineLevel="1" thickBot="1" x14ac:dyDescent="0.3">
      <c r="A50" s="872"/>
      <c r="B50" s="473" t="str">
        <f t="shared" si="5"/>
        <v>Unused module</v>
      </c>
      <c r="C50" s="468">
        <f>C27</f>
        <v>0</v>
      </c>
      <c r="D50" s="416"/>
      <c r="E50" s="420">
        <v>0</v>
      </c>
      <c r="F50" s="421">
        <v>0</v>
      </c>
      <c r="G50" s="495">
        <v>0</v>
      </c>
      <c r="H50" s="498">
        <f t="shared" ref="H50:I50" si="16">H27</f>
        <v>0</v>
      </c>
      <c r="I50" s="479">
        <f t="shared" si="16"/>
        <v>240</v>
      </c>
      <c r="K50" s="431" t="str">
        <f t="shared" si="3"/>
        <v>Unused module</v>
      </c>
      <c r="L50" s="514" t="s">
        <v>55</v>
      </c>
      <c r="M50" s="542">
        <f t="shared" si="4"/>
        <v>0</v>
      </c>
      <c r="N50" s="543">
        <v>0</v>
      </c>
      <c r="O50" s="543">
        <v>0</v>
      </c>
      <c r="P50" s="543">
        <v>0</v>
      </c>
      <c r="Q50" s="543">
        <v>0</v>
      </c>
      <c r="R50" s="543">
        <v>0</v>
      </c>
      <c r="S50" s="543">
        <v>0</v>
      </c>
      <c r="T50" s="543">
        <v>0</v>
      </c>
      <c r="U50" s="543">
        <v>0</v>
      </c>
      <c r="V50" s="543">
        <v>0</v>
      </c>
      <c r="W50" s="543">
        <v>0</v>
      </c>
      <c r="X50" s="543">
        <v>0</v>
      </c>
      <c r="Y50" s="543">
        <v>0</v>
      </c>
      <c r="Z50" s="543">
        <v>0</v>
      </c>
      <c r="AA50" s="543">
        <v>0</v>
      </c>
      <c r="AB50" s="543">
        <v>0</v>
      </c>
      <c r="AC50" s="543">
        <v>0</v>
      </c>
      <c r="AD50" s="543">
        <v>0</v>
      </c>
      <c r="AE50" s="543">
        <v>0</v>
      </c>
      <c r="AF50" s="543">
        <v>0</v>
      </c>
      <c r="AG50" s="543">
        <v>0</v>
      </c>
      <c r="AH50" s="543">
        <v>0</v>
      </c>
      <c r="AI50" s="543">
        <v>0</v>
      </c>
      <c r="AJ50" s="543">
        <v>0</v>
      </c>
      <c r="AK50" s="543">
        <v>0</v>
      </c>
      <c r="AL50" s="543">
        <v>0</v>
      </c>
      <c r="AM50" s="543">
        <v>0</v>
      </c>
      <c r="AN50" s="543">
        <v>0</v>
      </c>
      <c r="AO50" s="543">
        <v>0</v>
      </c>
      <c r="AP50" s="543">
        <v>0</v>
      </c>
      <c r="AQ50" s="543">
        <v>0</v>
      </c>
      <c r="AR50" s="543">
        <v>0</v>
      </c>
      <c r="AS50" s="543">
        <v>0</v>
      </c>
      <c r="AT50" s="543">
        <v>0</v>
      </c>
      <c r="AU50" s="543">
        <v>0</v>
      </c>
      <c r="AV50" s="543">
        <v>0</v>
      </c>
      <c r="AW50" s="543">
        <v>0</v>
      </c>
      <c r="AX50" s="543">
        <v>0</v>
      </c>
      <c r="AY50" s="543">
        <v>0</v>
      </c>
      <c r="AZ50" s="543">
        <v>0</v>
      </c>
      <c r="BA50" s="543">
        <v>0</v>
      </c>
      <c r="BB50" s="543">
        <v>0</v>
      </c>
      <c r="BC50" s="543">
        <v>0</v>
      </c>
      <c r="BD50" s="543">
        <v>0</v>
      </c>
      <c r="BE50" s="543">
        <v>0</v>
      </c>
      <c r="BF50" s="543">
        <v>0</v>
      </c>
      <c r="BG50" s="543">
        <v>0</v>
      </c>
      <c r="BH50" s="543">
        <v>0</v>
      </c>
      <c r="BI50" s="543">
        <v>0</v>
      </c>
      <c r="BJ50" s="543">
        <v>0</v>
      </c>
      <c r="BK50" s="543">
        <v>0</v>
      </c>
      <c r="BL50" s="543">
        <v>0</v>
      </c>
      <c r="BM50" s="543">
        <v>0</v>
      </c>
    </row>
    <row r="51" spans="1:65" ht="16.5" outlineLevel="1" thickBot="1" x14ac:dyDescent="0.3">
      <c r="B51" s="391"/>
      <c r="D51" s="71"/>
      <c r="E51" s="404"/>
      <c r="F51" s="404"/>
      <c r="G51" s="313"/>
      <c r="K51" s="412"/>
      <c r="L51" s="435"/>
      <c r="M51" s="545">
        <f>MAX(0,MIN($M$4,$I51)-MAX($M$3,$H51))/12*$G51+IF(AND($M$4&gt;=$I51,$M$3&lt;$I51),$F51,0)</f>
        <v>0</v>
      </c>
      <c r="N51" s="545">
        <v>0</v>
      </c>
      <c r="O51" s="545">
        <v>0</v>
      </c>
      <c r="P51" s="545">
        <v>0</v>
      </c>
      <c r="Q51" s="545">
        <v>0</v>
      </c>
      <c r="R51" s="545">
        <v>0</v>
      </c>
      <c r="S51" s="545">
        <v>0</v>
      </c>
      <c r="T51" s="545">
        <v>0</v>
      </c>
      <c r="U51" s="545">
        <v>0</v>
      </c>
      <c r="V51" s="545">
        <v>0</v>
      </c>
      <c r="W51" s="545">
        <v>0</v>
      </c>
      <c r="X51" s="545">
        <v>0</v>
      </c>
      <c r="Y51" s="545">
        <v>0</v>
      </c>
      <c r="Z51" s="545">
        <v>0</v>
      </c>
      <c r="AA51" s="545">
        <v>0</v>
      </c>
      <c r="AB51" s="545">
        <v>0</v>
      </c>
      <c r="AC51" s="545">
        <v>0</v>
      </c>
      <c r="AD51" s="545">
        <v>0</v>
      </c>
      <c r="AE51" s="545">
        <v>0</v>
      </c>
      <c r="AF51" s="545">
        <v>0</v>
      </c>
      <c r="AG51" s="545">
        <v>0</v>
      </c>
      <c r="AH51" s="545">
        <v>0</v>
      </c>
      <c r="AI51" s="545">
        <v>0</v>
      </c>
      <c r="AJ51" s="545">
        <v>0</v>
      </c>
      <c r="AK51" s="545">
        <v>0</v>
      </c>
      <c r="AL51" s="545">
        <v>0</v>
      </c>
      <c r="AM51" s="545">
        <v>0</v>
      </c>
      <c r="AN51" s="545">
        <v>0</v>
      </c>
      <c r="AO51" s="545">
        <v>0</v>
      </c>
      <c r="AP51" s="545">
        <v>0</v>
      </c>
      <c r="AQ51" s="545">
        <v>0</v>
      </c>
      <c r="AR51" s="545">
        <v>0</v>
      </c>
      <c r="AS51" s="545">
        <v>0</v>
      </c>
      <c r="AT51" s="545">
        <v>0</v>
      </c>
      <c r="AU51" s="545">
        <v>0</v>
      </c>
      <c r="AV51" s="545">
        <v>0</v>
      </c>
      <c r="AW51" s="545">
        <v>0</v>
      </c>
      <c r="AX51" s="545">
        <v>0</v>
      </c>
      <c r="AY51" s="545">
        <v>0</v>
      </c>
      <c r="AZ51" s="545">
        <v>0</v>
      </c>
      <c r="BA51" s="545">
        <v>0</v>
      </c>
      <c r="BB51" s="545">
        <v>0</v>
      </c>
      <c r="BC51" s="545">
        <v>0</v>
      </c>
      <c r="BD51" s="545">
        <v>0</v>
      </c>
      <c r="BE51" s="545">
        <v>0</v>
      </c>
      <c r="BF51" s="545">
        <v>0</v>
      </c>
      <c r="BG51" s="545">
        <v>0</v>
      </c>
      <c r="BH51" s="545">
        <v>0</v>
      </c>
      <c r="BI51" s="545">
        <v>0</v>
      </c>
      <c r="BJ51" s="545">
        <v>0</v>
      </c>
      <c r="BK51" s="545">
        <v>0</v>
      </c>
      <c r="BL51" s="545">
        <v>0</v>
      </c>
      <c r="BM51" s="545">
        <v>0</v>
      </c>
    </row>
    <row r="52" spans="1:65" ht="16.5" outlineLevel="1" thickBot="1" x14ac:dyDescent="0.3">
      <c r="B52" s="391"/>
      <c r="D52" s="71"/>
      <c r="E52" s="313"/>
      <c r="F52" s="313"/>
      <c r="G52" s="313"/>
      <c r="K52" s="432" t="s">
        <v>146</v>
      </c>
      <c r="L52" s="512" t="s">
        <v>40</v>
      </c>
      <c r="M52" s="532">
        <f>-SUMIFS($E54:$E73,$C54:$C73,"&gt;"&amp;$M$3,$C54:$C73,"&lt;="&amp;$M$4)</f>
        <v>0</v>
      </c>
      <c r="N52" s="537">
        <v>0</v>
      </c>
      <c r="O52" s="537">
        <v>0</v>
      </c>
      <c r="P52" s="537">
        <v>0</v>
      </c>
      <c r="Q52" s="537">
        <v>0</v>
      </c>
      <c r="R52" s="537">
        <v>0</v>
      </c>
      <c r="S52" s="537">
        <v>0</v>
      </c>
      <c r="T52" s="537">
        <v>0</v>
      </c>
      <c r="U52" s="537">
        <v>0</v>
      </c>
      <c r="V52" s="537">
        <v>0</v>
      </c>
      <c r="W52" s="537">
        <v>0</v>
      </c>
      <c r="X52" s="537">
        <v>0</v>
      </c>
      <c r="Y52" s="537">
        <v>0</v>
      </c>
      <c r="Z52" s="537">
        <v>0</v>
      </c>
      <c r="AA52" s="537">
        <v>0</v>
      </c>
      <c r="AB52" s="537">
        <v>0</v>
      </c>
      <c r="AC52" s="537">
        <v>0</v>
      </c>
      <c r="AD52" s="537">
        <v>0</v>
      </c>
      <c r="AE52" s="537">
        <v>0</v>
      </c>
      <c r="AF52" s="537">
        <v>0</v>
      </c>
      <c r="AG52" s="537">
        <v>0</v>
      </c>
      <c r="AH52" s="537">
        <v>0</v>
      </c>
      <c r="AI52" s="537">
        <v>0</v>
      </c>
      <c r="AJ52" s="537">
        <v>0</v>
      </c>
      <c r="AK52" s="537">
        <v>0</v>
      </c>
      <c r="AL52" s="537">
        <v>0</v>
      </c>
      <c r="AM52" s="537">
        <v>0</v>
      </c>
      <c r="AN52" s="537">
        <v>0</v>
      </c>
      <c r="AO52" s="537">
        <v>0</v>
      </c>
      <c r="AP52" s="537">
        <v>0</v>
      </c>
      <c r="AQ52" s="537">
        <v>0</v>
      </c>
      <c r="AR52" s="537">
        <v>0</v>
      </c>
      <c r="AS52" s="537">
        <v>0</v>
      </c>
      <c r="AT52" s="537">
        <v>0</v>
      </c>
      <c r="AU52" s="537">
        <v>0</v>
      </c>
      <c r="AV52" s="537">
        <v>0</v>
      </c>
      <c r="AW52" s="537">
        <v>0</v>
      </c>
      <c r="AX52" s="537">
        <v>0</v>
      </c>
      <c r="AY52" s="537">
        <v>0</v>
      </c>
      <c r="AZ52" s="537">
        <v>0</v>
      </c>
      <c r="BA52" s="537">
        <v>0</v>
      </c>
      <c r="BB52" s="537">
        <v>0</v>
      </c>
      <c r="BC52" s="537">
        <v>0</v>
      </c>
      <c r="BD52" s="537">
        <v>0</v>
      </c>
      <c r="BE52" s="537">
        <v>0</v>
      </c>
      <c r="BF52" s="537">
        <v>0</v>
      </c>
      <c r="BG52" s="537">
        <v>0</v>
      </c>
      <c r="BH52" s="537">
        <v>0</v>
      </c>
      <c r="BI52" s="537">
        <v>0</v>
      </c>
      <c r="BJ52" s="537">
        <v>0</v>
      </c>
      <c r="BK52" s="537">
        <v>0</v>
      </c>
      <c r="BL52" s="537">
        <v>0</v>
      </c>
      <c r="BM52" s="537">
        <v>0</v>
      </c>
    </row>
    <row r="53" spans="1:65" ht="16.5" outlineLevel="1" thickBot="1" x14ac:dyDescent="0.3">
      <c r="B53" s="391"/>
      <c r="C53" s="488"/>
      <c r="D53" s="489"/>
      <c r="E53" s="489" t="str" cm="1">
        <f t="array" ref="E53:E73">TRANSPOSE('Project Model'!$D$30:$X$30)</f>
        <v>MWh</v>
      </c>
      <c r="F53" s="491" t="str" cm="1">
        <f t="array" ref="F53:F73">TRANSPOSE('Project Model'!$D$103:$X$103)</f>
        <v>MWh</v>
      </c>
      <c r="G53" s="492" t="str" cm="1">
        <f t="array" ref="G53:G73">TRANSPOSE('Project Model'!D110:X110)</f>
        <v>MWh/yr</v>
      </c>
      <c r="H53" s="488" t="str">
        <f t="shared" ref="H53:I53" si="17">H30</f>
        <v>Month</v>
      </c>
      <c r="I53" s="490" t="str">
        <f t="shared" si="17"/>
        <v>Month</v>
      </c>
      <c r="J53" s="127"/>
      <c r="K53" s="429" t="s">
        <v>147</v>
      </c>
      <c r="L53" s="513" t="s">
        <v>40</v>
      </c>
      <c r="M53" s="534">
        <f>-SUMIFS($F54:$F73,$I54:$I73,"&gt;"&amp;$M$3,$I54:$I73,"&lt;="&amp;$M$4)</f>
        <v>0</v>
      </c>
      <c r="N53" s="535">
        <v>0</v>
      </c>
      <c r="O53" s="535">
        <v>0</v>
      </c>
      <c r="P53" s="535">
        <v>0</v>
      </c>
      <c r="Q53" s="535">
        <v>0</v>
      </c>
      <c r="R53" s="535">
        <v>0</v>
      </c>
      <c r="S53" s="535">
        <v>0</v>
      </c>
      <c r="T53" s="535">
        <v>0</v>
      </c>
      <c r="U53" s="535">
        <v>0</v>
      </c>
      <c r="V53" s="535">
        <v>0</v>
      </c>
      <c r="W53" s="535">
        <v>0</v>
      </c>
      <c r="X53" s="535">
        <v>0</v>
      </c>
      <c r="Y53" s="535">
        <v>0</v>
      </c>
      <c r="Z53" s="535">
        <v>0</v>
      </c>
      <c r="AA53" s="535">
        <v>0</v>
      </c>
      <c r="AB53" s="535">
        <v>0</v>
      </c>
      <c r="AC53" s="535">
        <v>0</v>
      </c>
      <c r="AD53" s="535">
        <v>0</v>
      </c>
      <c r="AE53" s="535">
        <v>0</v>
      </c>
      <c r="AF53" s="535">
        <v>0</v>
      </c>
      <c r="AG53" s="535">
        <v>0</v>
      </c>
      <c r="AH53" s="535">
        <v>0</v>
      </c>
      <c r="AI53" s="535">
        <v>0</v>
      </c>
      <c r="AJ53" s="535">
        <v>0</v>
      </c>
      <c r="AK53" s="535">
        <v>0</v>
      </c>
      <c r="AL53" s="535">
        <v>0</v>
      </c>
      <c r="AM53" s="535">
        <v>0</v>
      </c>
      <c r="AN53" s="535">
        <v>0</v>
      </c>
      <c r="AO53" s="535">
        <v>0</v>
      </c>
      <c r="AP53" s="535">
        <v>0</v>
      </c>
      <c r="AQ53" s="535">
        <v>0</v>
      </c>
      <c r="AR53" s="535">
        <v>0</v>
      </c>
      <c r="AS53" s="535">
        <v>0</v>
      </c>
      <c r="AT53" s="535">
        <v>0</v>
      </c>
      <c r="AU53" s="535">
        <v>0</v>
      </c>
      <c r="AV53" s="535">
        <v>0</v>
      </c>
      <c r="AW53" s="535">
        <v>0</v>
      </c>
      <c r="AX53" s="535">
        <v>0</v>
      </c>
      <c r="AY53" s="535">
        <v>0</v>
      </c>
      <c r="AZ53" s="535">
        <v>0</v>
      </c>
      <c r="BA53" s="535">
        <v>0</v>
      </c>
      <c r="BB53" s="535">
        <v>0</v>
      </c>
      <c r="BC53" s="535">
        <v>0</v>
      </c>
      <c r="BD53" s="535">
        <v>0</v>
      </c>
      <c r="BE53" s="535">
        <v>0</v>
      </c>
      <c r="BF53" s="535">
        <v>0</v>
      </c>
      <c r="BG53" s="535">
        <v>0</v>
      </c>
      <c r="BH53" s="535">
        <v>0</v>
      </c>
      <c r="BI53" s="535">
        <v>0</v>
      </c>
      <c r="BJ53" s="535">
        <v>0</v>
      </c>
      <c r="BK53" s="535">
        <v>0</v>
      </c>
      <c r="BL53" s="535">
        <v>0</v>
      </c>
      <c r="BM53" s="536">
        <v>0</v>
      </c>
    </row>
    <row r="54" spans="1:65" ht="16.5" outlineLevel="1" thickBot="1" x14ac:dyDescent="0.3">
      <c r="A54" s="869" t="s">
        <v>17</v>
      </c>
      <c r="B54" s="473" t="str">
        <f>B8</f>
        <v>Not tied to a module</v>
      </c>
      <c r="C54" s="465">
        <f>C8</f>
        <v>2</v>
      </c>
      <c r="D54" s="413"/>
      <c r="E54" s="418">
        <v>0</v>
      </c>
      <c r="F54" s="419">
        <v>0</v>
      </c>
      <c r="G54" s="493">
        <v>0</v>
      </c>
      <c r="H54" s="261">
        <f>H31</f>
        <v>2</v>
      </c>
      <c r="I54" s="476">
        <f>I31</f>
        <v>242</v>
      </c>
      <c r="K54" s="430" t="str">
        <f t="shared" ref="K54:K73" si="18">B54</f>
        <v>Not tied to a module</v>
      </c>
      <c r="L54" s="512" t="s">
        <v>40</v>
      </c>
      <c r="M54" s="532">
        <f t="shared" ref="M54:M73" si="19">MAX(0,MIN($M$4,$I54)-MAX($M$3,$H54))/12*$G54</f>
        <v>0</v>
      </c>
      <c r="N54" s="537">
        <v>0</v>
      </c>
      <c r="O54" s="537">
        <v>0</v>
      </c>
      <c r="P54" s="537">
        <v>0</v>
      </c>
      <c r="Q54" s="537">
        <v>0</v>
      </c>
      <c r="R54" s="537">
        <v>0</v>
      </c>
      <c r="S54" s="537">
        <v>0</v>
      </c>
      <c r="T54" s="537">
        <v>0</v>
      </c>
      <c r="U54" s="537">
        <v>0</v>
      </c>
      <c r="V54" s="537">
        <v>0</v>
      </c>
      <c r="W54" s="537">
        <v>0</v>
      </c>
      <c r="X54" s="537">
        <v>0</v>
      </c>
      <c r="Y54" s="537">
        <v>0</v>
      </c>
      <c r="Z54" s="537">
        <v>0</v>
      </c>
      <c r="AA54" s="537">
        <v>0</v>
      </c>
      <c r="AB54" s="537">
        <v>0</v>
      </c>
      <c r="AC54" s="537">
        <v>0</v>
      </c>
      <c r="AD54" s="537">
        <v>0</v>
      </c>
      <c r="AE54" s="537">
        <v>0</v>
      </c>
      <c r="AF54" s="537">
        <v>0</v>
      </c>
      <c r="AG54" s="537">
        <v>0</v>
      </c>
      <c r="AH54" s="537">
        <v>0</v>
      </c>
      <c r="AI54" s="537">
        <v>0</v>
      </c>
      <c r="AJ54" s="537">
        <v>0</v>
      </c>
      <c r="AK54" s="537">
        <v>0</v>
      </c>
      <c r="AL54" s="537">
        <v>0</v>
      </c>
      <c r="AM54" s="537">
        <v>0</v>
      </c>
      <c r="AN54" s="537">
        <v>0</v>
      </c>
      <c r="AO54" s="537">
        <v>0</v>
      </c>
      <c r="AP54" s="537">
        <v>0</v>
      </c>
      <c r="AQ54" s="537">
        <v>0</v>
      </c>
      <c r="AR54" s="537">
        <v>0</v>
      </c>
      <c r="AS54" s="537">
        <v>0</v>
      </c>
      <c r="AT54" s="537">
        <v>0</v>
      </c>
      <c r="AU54" s="537">
        <v>0</v>
      </c>
      <c r="AV54" s="537">
        <v>0</v>
      </c>
      <c r="AW54" s="537">
        <v>0</v>
      </c>
      <c r="AX54" s="537">
        <v>0</v>
      </c>
      <c r="AY54" s="537">
        <v>0</v>
      </c>
      <c r="AZ54" s="537">
        <v>0</v>
      </c>
      <c r="BA54" s="537">
        <v>0</v>
      </c>
      <c r="BB54" s="537">
        <v>0</v>
      </c>
      <c r="BC54" s="537">
        <v>0</v>
      </c>
      <c r="BD54" s="537">
        <v>0</v>
      </c>
      <c r="BE54" s="537">
        <v>0</v>
      </c>
      <c r="BF54" s="537">
        <v>0</v>
      </c>
      <c r="BG54" s="537">
        <v>0</v>
      </c>
      <c r="BH54" s="537">
        <v>0</v>
      </c>
      <c r="BI54" s="537">
        <v>0</v>
      </c>
      <c r="BJ54" s="537">
        <v>0</v>
      </c>
      <c r="BK54" s="537">
        <v>0</v>
      </c>
      <c r="BL54" s="537">
        <v>0</v>
      </c>
      <c r="BM54" s="538">
        <v>0</v>
      </c>
    </row>
    <row r="55" spans="1:65" ht="16.5" outlineLevel="1" thickBot="1" x14ac:dyDescent="0.3">
      <c r="A55" s="870"/>
      <c r="B55" s="473" t="str">
        <f t="shared" ref="B55:B73" si="20">B9</f>
        <v>FEED and approvals</v>
      </c>
      <c r="C55" s="408">
        <f t="shared" ref="C55:C61" si="21">C9</f>
        <v>6</v>
      </c>
      <c r="D55" s="11"/>
      <c r="E55" s="392">
        <v>0</v>
      </c>
      <c r="F55" s="395">
        <v>0</v>
      </c>
      <c r="G55" s="494">
        <v>0</v>
      </c>
      <c r="H55" s="262">
        <f t="shared" ref="H55:I55" si="22">H32</f>
        <v>6</v>
      </c>
      <c r="I55" s="478">
        <f t="shared" si="22"/>
        <v>246</v>
      </c>
      <c r="K55" s="429" t="str">
        <f t="shared" si="18"/>
        <v>FEED and approvals</v>
      </c>
      <c r="L55" s="513" t="s">
        <v>40</v>
      </c>
      <c r="M55" s="539">
        <f t="shared" si="19"/>
        <v>0</v>
      </c>
      <c r="N55" s="540">
        <v>0</v>
      </c>
      <c r="O55" s="540">
        <v>0</v>
      </c>
      <c r="P55" s="540">
        <v>0</v>
      </c>
      <c r="Q55" s="540">
        <v>0</v>
      </c>
      <c r="R55" s="540">
        <v>0</v>
      </c>
      <c r="S55" s="540">
        <v>0</v>
      </c>
      <c r="T55" s="540">
        <v>0</v>
      </c>
      <c r="U55" s="540">
        <v>0</v>
      </c>
      <c r="V55" s="540">
        <v>0</v>
      </c>
      <c r="W55" s="540">
        <v>0</v>
      </c>
      <c r="X55" s="540">
        <v>0</v>
      </c>
      <c r="Y55" s="540">
        <v>0</v>
      </c>
      <c r="Z55" s="540">
        <v>0</v>
      </c>
      <c r="AA55" s="540">
        <v>0</v>
      </c>
      <c r="AB55" s="540">
        <v>0</v>
      </c>
      <c r="AC55" s="540">
        <v>0</v>
      </c>
      <c r="AD55" s="540">
        <v>0</v>
      </c>
      <c r="AE55" s="540">
        <v>0</v>
      </c>
      <c r="AF55" s="540">
        <v>0</v>
      </c>
      <c r="AG55" s="540">
        <v>0</v>
      </c>
      <c r="AH55" s="540">
        <v>0</v>
      </c>
      <c r="AI55" s="540">
        <v>0</v>
      </c>
      <c r="AJ55" s="540">
        <v>0</v>
      </c>
      <c r="AK55" s="540">
        <v>0</v>
      </c>
      <c r="AL55" s="540">
        <v>0</v>
      </c>
      <c r="AM55" s="540">
        <v>0</v>
      </c>
      <c r="AN55" s="540">
        <v>0</v>
      </c>
      <c r="AO55" s="540">
        <v>0</v>
      </c>
      <c r="AP55" s="540">
        <v>0</v>
      </c>
      <c r="AQ55" s="540">
        <v>0</v>
      </c>
      <c r="AR55" s="540">
        <v>0</v>
      </c>
      <c r="AS55" s="540">
        <v>0</v>
      </c>
      <c r="AT55" s="540">
        <v>0</v>
      </c>
      <c r="AU55" s="540">
        <v>0</v>
      </c>
      <c r="AV55" s="540">
        <v>0</v>
      </c>
      <c r="AW55" s="540">
        <v>0</v>
      </c>
      <c r="AX55" s="540">
        <v>0</v>
      </c>
      <c r="AY55" s="540">
        <v>0</v>
      </c>
      <c r="AZ55" s="540">
        <v>0</v>
      </c>
      <c r="BA55" s="540">
        <v>0</v>
      </c>
      <c r="BB55" s="540">
        <v>0</v>
      </c>
      <c r="BC55" s="540">
        <v>0</v>
      </c>
      <c r="BD55" s="540">
        <v>0</v>
      </c>
      <c r="BE55" s="540">
        <v>0</v>
      </c>
      <c r="BF55" s="540">
        <v>0</v>
      </c>
      <c r="BG55" s="540">
        <v>0</v>
      </c>
      <c r="BH55" s="540">
        <v>0</v>
      </c>
      <c r="BI55" s="540">
        <v>0</v>
      </c>
      <c r="BJ55" s="540">
        <v>0</v>
      </c>
      <c r="BK55" s="540">
        <v>0</v>
      </c>
      <c r="BL55" s="540">
        <v>0</v>
      </c>
      <c r="BM55" s="541">
        <v>0</v>
      </c>
    </row>
    <row r="56" spans="1:65" ht="16.5" outlineLevel="1" thickBot="1" x14ac:dyDescent="0.3">
      <c r="A56" s="870"/>
      <c r="B56" s="473" t="str">
        <f t="shared" si="20"/>
        <v>Solar North SAT</v>
      </c>
      <c r="C56" s="408">
        <f t="shared" si="21"/>
        <v>6</v>
      </c>
      <c r="D56" s="11"/>
      <c r="E56" s="392">
        <v>0</v>
      </c>
      <c r="F56" s="395">
        <v>0</v>
      </c>
      <c r="G56" s="494">
        <v>6570</v>
      </c>
      <c r="H56" s="262">
        <f t="shared" ref="H56:I56" si="23">H33</f>
        <v>6</v>
      </c>
      <c r="I56" s="478">
        <f t="shared" si="23"/>
        <v>246</v>
      </c>
      <c r="K56" s="429" t="str">
        <f t="shared" si="18"/>
        <v>Solar North SAT</v>
      </c>
      <c r="L56" s="513" t="s">
        <v>40</v>
      </c>
      <c r="M56" s="539">
        <f t="shared" si="19"/>
        <v>1642.5</v>
      </c>
      <c r="N56" s="540">
        <v>6521.3128570986237</v>
      </c>
      <c r="O56" s="540">
        <v>6472.9865114398499</v>
      </c>
      <c r="P56" s="540">
        <v>6425.0182893270412</v>
      </c>
      <c r="Q56" s="540">
        <v>6377.4055368770532</v>
      </c>
      <c r="R56" s="540">
        <v>6330.1456198734058</v>
      </c>
      <c r="S56" s="540">
        <v>6283.2359236205448</v>
      </c>
      <c r="T56" s="540">
        <v>6236.6738527991783</v>
      </c>
      <c r="U56" s="540">
        <v>6190.4568313226937</v>
      </c>
      <c r="V56" s="540">
        <v>6144.5823021946253</v>
      </c>
      <c r="W56" s="540">
        <v>6099.047727367195</v>
      </c>
      <c r="X56" s="540">
        <v>6053.8505876008867</v>
      </c>
      <c r="Y56" s="540">
        <v>6008.9883823250711</v>
      </c>
      <c r="Z56" s="540">
        <v>5964.4586294996579</v>
      </c>
      <c r="AA56" s="540">
        <v>5920.258865477771</v>
      </c>
      <c r="AB56" s="540">
        <v>5876.3866448694516</v>
      </c>
      <c r="AC56" s="540">
        <v>5832.8395404063622</v>
      </c>
      <c r="AD56" s="540">
        <v>5789.6151428074945</v>
      </c>
      <c r="AE56" s="540">
        <v>5746.7110606458755</v>
      </c>
      <c r="AF56" s="540">
        <v>5704.124920216258</v>
      </c>
      <c r="AG56" s="540">
        <v>4246.3907740528475</v>
      </c>
      <c r="AH56" s="540">
        <v>0</v>
      </c>
      <c r="AI56" s="540">
        <v>0</v>
      </c>
      <c r="AJ56" s="540">
        <v>0</v>
      </c>
      <c r="AK56" s="540">
        <v>0</v>
      </c>
      <c r="AL56" s="540">
        <v>0</v>
      </c>
      <c r="AM56" s="540">
        <v>0</v>
      </c>
      <c r="AN56" s="540">
        <v>0</v>
      </c>
      <c r="AO56" s="540">
        <v>0</v>
      </c>
      <c r="AP56" s="540">
        <v>0</v>
      </c>
      <c r="AQ56" s="540">
        <v>0</v>
      </c>
      <c r="AR56" s="540">
        <v>0</v>
      </c>
      <c r="AS56" s="540">
        <v>0</v>
      </c>
      <c r="AT56" s="540">
        <v>0</v>
      </c>
      <c r="AU56" s="540">
        <v>0</v>
      </c>
      <c r="AV56" s="540">
        <v>0</v>
      </c>
      <c r="AW56" s="540">
        <v>0</v>
      </c>
      <c r="AX56" s="540">
        <v>0</v>
      </c>
      <c r="AY56" s="540">
        <v>0</v>
      </c>
      <c r="AZ56" s="540">
        <v>0</v>
      </c>
      <c r="BA56" s="540">
        <v>0</v>
      </c>
      <c r="BB56" s="540">
        <v>0</v>
      </c>
      <c r="BC56" s="540">
        <v>0</v>
      </c>
      <c r="BD56" s="540">
        <v>0</v>
      </c>
      <c r="BE56" s="540">
        <v>0</v>
      </c>
      <c r="BF56" s="540">
        <v>0</v>
      </c>
      <c r="BG56" s="540">
        <v>0</v>
      </c>
      <c r="BH56" s="540">
        <v>0</v>
      </c>
      <c r="BI56" s="540">
        <v>0</v>
      </c>
      <c r="BJ56" s="540">
        <v>0</v>
      </c>
      <c r="BK56" s="540">
        <v>0</v>
      </c>
      <c r="BL56" s="540">
        <v>0</v>
      </c>
      <c r="BM56" s="541">
        <v>0</v>
      </c>
    </row>
    <row r="57" spans="1:65" ht="16.5" outlineLevel="1" thickBot="1" x14ac:dyDescent="0.3">
      <c r="A57" s="870"/>
      <c r="B57" s="473" t="str">
        <f t="shared" si="20"/>
        <v>Solar East/West</v>
      </c>
      <c r="C57" s="408">
        <f t="shared" si="21"/>
        <v>7</v>
      </c>
      <c r="D57" s="11"/>
      <c r="E57" s="392">
        <v>0</v>
      </c>
      <c r="F57" s="395">
        <v>0</v>
      </c>
      <c r="G57" s="494">
        <v>4993.2000000000007</v>
      </c>
      <c r="H57" s="262">
        <f t="shared" ref="H57:I57" si="24">H34</f>
        <v>7</v>
      </c>
      <c r="I57" s="478">
        <f t="shared" si="24"/>
        <v>247</v>
      </c>
      <c r="K57" s="429" t="str">
        <f t="shared" si="18"/>
        <v>Solar East/West</v>
      </c>
      <c r="L57" s="513" t="s">
        <v>40</v>
      </c>
      <c r="M57" s="539">
        <f t="shared" si="19"/>
        <v>832.2</v>
      </c>
      <c r="N57" s="540">
        <v>4956.1977713949536</v>
      </c>
      <c r="O57" s="540">
        <v>4919.469748694286</v>
      </c>
      <c r="P57" s="540">
        <v>4883.0138998885514</v>
      </c>
      <c r="Q57" s="540">
        <v>4846.8282080265608</v>
      </c>
      <c r="R57" s="540">
        <v>4810.9106711037884</v>
      </c>
      <c r="S57" s="540">
        <v>4775.2593019516144</v>
      </c>
      <c r="T57" s="540">
        <v>4739.8721281273756</v>
      </c>
      <c r="U57" s="540">
        <v>4704.747191805247</v>
      </c>
      <c r="V57" s="540">
        <v>4669.8825496679146</v>
      </c>
      <c r="W57" s="540">
        <v>4635.2762727990685</v>
      </c>
      <c r="X57" s="540">
        <v>4600.9264465766746</v>
      </c>
      <c r="Y57" s="540">
        <v>4566.8311705670549</v>
      </c>
      <c r="Z57" s="540">
        <v>4532.98855841974</v>
      </c>
      <c r="AA57" s="540">
        <v>4499.3967377631061</v>
      </c>
      <c r="AB57" s="540">
        <v>4466.0538501007832</v>
      </c>
      <c r="AC57" s="540">
        <v>4432.9580507088358</v>
      </c>
      <c r="AD57" s="540">
        <v>4400.1075085336961</v>
      </c>
      <c r="AE57" s="540">
        <v>4367.500406090865</v>
      </c>
      <c r="AF57" s="540">
        <v>4335.1349393643559</v>
      </c>
      <c r="AG57" s="540">
        <v>3585.8410980890717</v>
      </c>
      <c r="AH57" s="540">
        <v>0</v>
      </c>
      <c r="AI57" s="540">
        <v>0</v>
      </c>
      <c r="AJ57" s="540">
        <v>0</v>
      </c>
      <c r="AK57" s="540">
        <v>0</v>
      </c>
      <c r="AL57" s="540">
        <v>0</v>
      </c>
      <c r="AM57" s="540">
        <v>0</v>
      </c>
      <c r="AN57" s="540">
        <v>0</v>
      </c>
      <c r="AO57" s="540">
        <v>0</v>
      </c>
      <c r="AP57" s="540">
        <v>0</v>
      </c>
      <c r="AQ57" s="540">
        <v>0</v>
      </c>
      <c r="AR57" s="540">
        <v>0</v>
      </c>
      <c r="AS57" s="540">
        <v>0</v>
      </c>
      <c r="AT57" s="540">
        <v>0</v>
      </c>
      <c r="AU57" s="540">
        <v>0</v>
      </c>
      <c r="AV57" s="540">
        <v>0</v>
      </c>
      <c r="AW57" s="540">
        <v>0</v>
      </c>
      <c r="AX57" s="540">
        <v>0</v>
      </c>
      <c r="AY57" s="540">
        <v>0</v>
      </c>
      <c r="AZ57" s="540">
        <v>0</v>
      </c>
      <c r="BA57" s="540">
        <v>0</v>
      </c>
      <c r="BB57" s="540">
        <v>0</v>
      </c>
      <c r="BC57" s="540">
        <v>0</v>
      </c>
      <c r="BD57" s="540">
        <v>0</v>
      </c>
      <c r="BE57" s="540">
        <v>0</v>
      </c>
      <c r="BF57" s="540">
        <v>0</v>
      </c>
      <c r="BG57" s="540">
        <v>0</v>
      </c>
      <c r="BH57" s="540">
        <v>0</v>
      </c>
      <c r="BI57" s="540">
        <v>0</v>
      </c>
      <c r="BJ57" s="540">
        <v>0</v>
      </c>
      <c r="BK57" s="540">
        <v>0</v>
      </c>
      <c r="BL57" s="540">
        <v>0</v>
      </c>
      <c r="BM57" s="541">
        <v>0</v>
      </c>
    </row>
    <row r="58" spans="1:65" ht="16.5" outlineLevel="1" thickBot="1" x14ac:dyDescent="0.3">
      <c r="A58" s="870"/>
      <c r="B58" s="473" t="str">
        <f t="shared" si="20"/>
        <v>Wind farm</v>
      </c>
      <c r="C58" s="408">
        <f t="shared" si="21"/>
        <v>6</v>
      </c>
      <c r="D58" s="11"/>
      <c r="E58" s="392">
        <v>0</v>
      </c>
      <c r="F58" s="395">
        <v>0</v>
      </c>
      <c r="G58" s="494">
        <v>7665</v>
      </c>
      <c r="H58" s="262">
        <f t="shared" ref="H58:I58" si="25">H35</f>
        <v>6</v>
      </c>
      <c r="I58" s="478">
        <f t="shared" si="25"/>
        <v>246</v>
      </c>
      <c r="K58" s="429" t="str">
        <f t="shared" si="18"/>
        <v>Wind farm</v>
      </c>
      <c r="L58" s="513" t="s">
        <v>40</v>
      </c>
      <c r="M58" s="539">
        <f t="shared" si="19"/>
        <v>1916.25</v>
      </c>
      <c r="N58" s="540">
        <v>7626.6750000000002</v>
      </c>
      <c r="O58" s="540">
        <v>7588.5416249999989</v>
      </c>
      <c r="P58" s="540">
        <v>7550.5989168750002</v>
      </c>
      <c r="Q58" s="540">
        <v>7512.8459222906249</v>
      </c>
      <c r="R58" s="540">
        <v>7475.281692679172</v>
      </c>
      <c r="S58" s="540">
        <v>7437.9052842157762</v>
      </c>
      <c r="T58" s="540">
        <v>7400.7157577946964</v>
      </c>
      <c r="U58" s="540">
        <v>7363.7121790057236</v>
      </c>
      <c r="V58" s="540">
        <v>7326.8936181106947</v>
      </c>
      <c r="W58" s="540">
        <v>7290.2591500201397</v>
      </c>
      <c r="X58" s="540">
        <v>7253.8078542700396</v>
      </c>
      <c r="Y58" s="540">
        <v>7217.5388149986893</v>
      </c>
      <c r="Z58" s="540">
        <v>7181.4511209236953</v>
      </c>
      <c r="AA58" s="540">
        <v>7145.5438653190777</v>
      </c>
      <c r="AB58" s="540">
        <v>7109.8161459924822</v>
      </c>
      <c r="AC58" s="540">
        <v>7074.2670652625202</v>
      </c>
      <c r="AD58" s="540">
        <v>7038.8957299362073</v>
      </c>
      <c r="AE58" s="540">
        <v>7003.7012512865276</v>
      </c>
      <c r="AF58" s="540">
        <v>6968.6827450300925</v>
      </c>
      <c r="AG58" s="540">
        <v>5200.3794984787073</v>
      </c>
      <c r="AH58" s="540">
        <v>0</v>
      </c>
      <c r="AI58" s="540">
        <v>0</v>
      </c>
      <c r="AJ58" s="540">
        <v>0</v>
      </c>
      <c r="AK58" s="540">
        <v>0</v>
      </c>
      <c r="AL58" s="540">
        <v>0</v>
      </c>
      <c r="AM58" s="540">
        <v>0</v>
      </c>
      <c r="AN58" s="540">
        <v>0</v>
      </c>
      <c r="AO58" s="540">
        <v>0</v>
      </c>
      <c r="AP58" s="540">
        <v>0</v>
      </c>
      <c r="AQ58" s="540">
        <v>0</v>
      </c>
      <c r="AR58" s="540">
        <v>0</v>
      </c>
      <c r="AS58" s="540">
        <v>0</v>
      </c>
      <c r="AT58" s="540">
        <v>0</v>
      </c>
      <c r="AU58" s="540">
        <v>0</v>
      </c>
      <c r="AV58" s="540">
        <v>0</v>
      </c>
      <c r="AW58" s="540">
        <v>0</v>
      </c>
      <c r="AX58" s="540">
        <v>0</v>
      </c>
      <c r="AY58" s="540">
        <v>0</v>
      </c>
      <c r="AZ58" s="540">
        <v>0</v>
      </c>
      <c r="BA58" s="540">
        <v>0</v>
      </c>
      <c r="BB58" s="540">
        <v>0</v>
      </c>
      <c r="BC58" s="540">
        <v>0</v>
      </c>
      <c r="BD58" s="540">
        <v>0</v>
      </c>
      <c r="BE58" s="540">
        <v>0</v>
      </c>
      <c r="BF58" s="540">
        <v>0</v>
      </c>
      <c r="BG58" s="540">
        <v>0</v>
      </c>
      <c r="BH58" s="540">
        <v>0</v>
      </c>
      <c r="BI58" s="540">
        <v>0</v>
      </c>
      <c r="BJ58" s="540">
        <v>0</v>
      </c>
      <c r="BK58" s="540">
        <v>0</v>
      </c>
      <c r="BL58" s="540">
        <v>0</v>
      </c>
      <c r="BM58" s="541">
        <v>0</v>
      </c>
    </row>
    <row r="59" spans="1:65" ht="16.5" outlineLevel="1" thickBot="1" x14ac:dyDescent="0.3">
      <c r="A59" s="870"/>
      <c r="B59" s="473" t="str">
        <f t="shared" si="20"/>
        <v>Biogas generator</v>
      </c>
      <c r="C59" s="408">
        <f t="shared" si="21"/>
        <v>12</v>
      </c>
      <c r="D59" s="11"/>
      <c r="E59" s="392">
        <v>0</v>
      </c>
      <c r="F59" s="395">
        <v>0</v>
      </c>
      <c r="G59" s="494">
        <v>6851.78</v>
      </c>
      <c r="H59" s="262">
        <f t="shared" ref="H59:I59" si="26">H36</f>
        <v>12</v>
      </c>
      <c r="I59" s="478">
        <f t="shared" si="26"/>
        <v>252</v>
      </c>
      <c r="K59" s="429" t="str">
        <f t="shared" si="18"/>
        <v>Biogas generator</v>
      </c>
      <c r="L59" s="513" t="s">
        <v>40</v>
      </c>
      <c r="M59" s="539">
        <f t="shared" si="19"/>
        <v>0</v>
      </c>
      <c r="N59" s="540">
        <v>5138.835</v>
      </c>
      <c r="O59" s="540">
        <v>6851.78</v>
      </c>
      <c r="P59" s="540">
        <v>6851.78</v>
      </c>
      <c r="Q59" s="540">
        <v>6851.78</v>
      </c>
      <c r="R59" s="540">
        <v>6851.78</v>
      </c>
      <c r="S59" s="540">
        <v>6851.78</v>
      </c>
      <c r="T59" s="540">
        <v>6851.78</v>
      </c>
      <c r="U59" s="540">
        <v>6851.78</v>
      </c>
      <c r="V59" s="540">
        <v>6851.78</v>
      </c>
      <c r="W59" s="540">
        <v>6851.78</v>
      </c>
      <c r="X59" s="540">
        <v>6851.78</v>
      </c>
      <c r="Y59" s="540">
        <v>6851.78</v>
      </c>
      <c r="Z59" s="540">
        <v>6851.78</v>
      </c>
      <c r="AA59" s="540">
        <v>6851.78</v>
      </c>
      <c r="AB59" s="540">
        <v>6851.78</v>
      </c>
      <c r="AC59" s="540">
        <v>6851.78</v>
      </c>
      <c r="AD59" s="540">
        <v>6851.78</v>
      </c>
      <c r="AE59" s="540">
        <v>6851.78</v>
      </c>
      <c r="AF59" s="540">
        <v>6851.78</v>
      </c>
      <c r="AG59" s="540">
        <v>6851.78</v>
      </c>
      <c r="AH59" s="540">
        <v>1712.9449999999999</v>
      </c>
      <c r="AI59" s="540">
        <v>0</v>
      </c>
      <c r="AJ59" s="540">
        <v>0</v>
      </c>
      <c r="AK59" s="540">
        <v>0</v>
      </c>
      <c r="AL59" s="540">
        <v>0</v>
      </c>
      <c r="AM59" s="540">
        <v>0</v>
      </c>
      <c r="AN59" s="540">
        <v>0</v>
      </c>
      <c r="AO59" s="540">
        <v>0</v>
      </c>
      <c r="AP59" s="540">
        <v>0</v>
      </c>
      <c r="AQ59" s="540">
        <v>0</v>
      </c>
      <c r="AR59" s="540">
        <v>0</v>
      </c>
      <c r="AS59" s="540">
        <v>0</v>
      </c>
      <c r="AT59" s="540">
        <v>0</v>
      </c>
      <c r="AU59" s="540">
        <v>0</v>
      </c>
      <c r="AV59" s="540">
        <v>0</v>
      </c>
      <c r="AW59" s="540">
        <v>0</v>
      </c>
      <c r="AX59" s="540">
        <v>0</v>
      </c>
      <c r="AY59" s="540">
        <v>0</v>
      </c>
      <c r="AZ59" s="540">
        <v>0</v>
      </c>
      <c r="BA59" s="540">
        <v>0</v>
      </c>
      <c r="BB59" s="540">
        <v>0</v>
      </c>
      <c r="BC59" s="540">
        <v>0</v>
      </c>
      <c r="BD59" s="540">
        <v>0</v>
      </c>
      <c r="BE59" s="540">
        <v>0</v>
      </c>
      <c r="BF59" s="540">
        <v>0</v>
      </c>
      <c r="BG59" s="540">
        <v>0</v>
      </c>
      <c r="BH59" s="540">
        <v>0</v>
      </c>
      <c r="BI59" s="540">
        <v>0</v>
      </c>
      <c r="BJ59" s="540">
        <v>0</v>
      </c>
      <c r="BK59" s="540">
        <v>0</v>
      </c>
      <c r="BL59" s="540">
        <v>0</v>
      </c>
      <c r="BM59" s="541">
        <v>0</v>
      </c>
    </row>
    <row r="60" spans="1:65" ht="16.5" outlineLevel="1" thickBot="1" x14ac:dyDescent="0.3">
      <c r="A60" s="870"/>
      <c r="B60" s="473" t="str">
        <f t="shared" si="20"/>
        <v>Battery system</v>
      </c>
      <c r="C60" s="408">
        <f t="shared" si="21"/>
        <v>4</v>
      </c>
      <c r="D60" s="11"/>
      <c r="E60" s="392">
        <v>0</v>
      </c>
      <c r="F60" s="395">
        <v>0</v>
      </c>
      <c r="G60" s="494">
        <v>-3650</v>
      </c>
      <c r="H60" s="262">
        <f t="shared" ref="H60:I60" si="27">H37</f>
        <v>18</v>
      </c>
      <c r="I60" s="478">
        <f t="shared" si="27"/>
        <v>138</v>
      </c>
      <c r="K60" s="429" t="str">
        <f t="shared" si="18"/>
        <v>Battery system</v>
      </c>
      <c r="L60" s="513" t="s">
        <v>40</v>
      </c>
      <c r="M60" s="539">
        <f t="shared" si="19"/>
        <v>0</v>
      </c>
      <c r="N60" s="540">
        <v>-912.5</v>
      </c>
      <c r="O60" s="540">
        <v>-3650</v>
      </c>
      <c r="P60" s="540">
        <v>-3650</v>
      </c>
      <c r="Q60" s="540">
        <v>-3650</v>
      </c>
      <c r="R60" s="540">
        <v>-3650</v>
      </c>
      <c r="S60" s="540">
        <v>-3650</v>
      </c>
      <c r="T60" s="540">
        <v>-3650</v>
      </c>
      <c r="U60" s="540">
        <v>-3650</v>
      </c>
      <c r="V60" s="540">
        <v>-3650</v>
      </c>
      <c r="W60" s="540">
        <v>-3650</v>
      </c>
      <c r="X60" s="540">
        <v>-2737.5</v>
      </c>
      <c r="Y60" s="540">
        <v>0</v>
      </c>
      <c r="Z60" s="540">
        <v>0</v>
      </c>
      <c r="AA60" s="540">
        <v>0</v>
      </c>
      <c r="AB60" s="540">
        <v>0</v>
      </c>
      <c r="AC60" s="540">
        <v>0</v>
      </c>
      <c r="AD60" s="540">
        <v>0</v>
      </c>
      <c r="AE60" s="540">
        <v>0</v>
      </c>
      <c r="AF60" s="540">
        <v>0</v>
      </c>
      <c r="AG60" s="540">
        <v>0</v>
      </c>
      <c r="AH60" s="540">
        <v>0</v>
      </c>
      <c r="AI60" s="540">
        <v>0</v>
      </c>
      <c r="AJ60" s="540">
        <v>0</v>
      </c>
      <c r="AK60" s="540">
        <v>0</v>
      </c>
      <c r="AL60" s="540">
        <v>0</v>
      </c>
      <c r="AM60" s="540">
        <v>0</v>
      </c>
      <c r="AN60" s="540">
        <v>0</v>
      </c>
      <c r="AO60" s="540">
        <v>0</v>
      </c>
      <c r="AP60" s="540">
        <v>0</v>
      </c>
      <c r="AQ60" s="540">
        <v>0</v>
      </c>
      <c r="AR60" s="540">
        <v>0</v>
      </c>
      <c r="AS60" s="540">
        <v>0</v>
      </c>
      <c r="AT60" s="540">
        <v>0</v>
      </c>
      <c r="AU60" s="540">
        <v>0</v>
      </c>
      <c r="AV60" s="540">
        <v>0</v>
      </c>
      <c r="AW60" s="540">
        <v>0</v>
      </c>
      <c r="AX60" s="540">
        <v>0</v>
      </c>
      <c r="AY60" s="540">
        <v>0</v>
      </c>
      <c r="AZ60" s="540">
        <v>0</v>
      </c>
      <c r="BA60" s="540">
        <v>0</v>
      </c>
      <c r="BB60" s="540">
        <v>0</v>
      </c>
      <c r="BC60" s="540">
        <v>0</v>
      </c>
      <c r="BD60" s="540">
        <v>0</v>
      </c>
      <c r="BE60" s="540">
        <v>0</v>
      </c>
      <c r="BF60" s="540">
        <v>0</v>
      </c>
      <c r="BG60" s="540">
        <v>0</v>
      </c>
      <c r="BH60" s="540">
        <v>0</v>
      </c>
      <c r="BI60" s="540">
        <v>0</v>
      </c>
      <c r="BJ60" s="540">
        <v>0</v>
      </c>
      <c r="BK60" s="540">
        <v>0</v>
      </c>
      <c r="BL60" s="540">
        <v>0</v>
      </c>
      <c r="BM60" s="541">
        <v>0</v>
      </c>
    </row>
    <row r="61" spans="1:65" ht="16.5" outlineLevel="1" thickBot="1" x14ac:dyDescent="0.3">
      <c r="A61" s="870"/>
      <c r="B61" s="473" t="str">
        <f t="shared" si="20"/>
        <v>Battery Refresh</v>
      </c>
      <c r="C61" s="408">
        <f t="shared" si="21"/>
        <v>138</v>
      </c>
      <c r="D61" s="11"/>
      <c r="E61" s="392">
        <v>0</v>
      </c>
      <c r="F61" s="395">
        <v>0</v>
      </c>
      <c r="G61" s="494">
        <v>-3650</v>
      </c>
      <c r="H61" s="262">
        <f t="shared" ref="H61:I61" si="28">H38</f>
        <v>138</v>
      </c>
      <c r="I61" s="478">
        <f t="shared" si="28"/>
        <v>318</v>
      </c>
      <c r="K61" s="429" t="str">
        <f t="shared" si="18"/>
        <v>Battery Refresh</v>
      </c>
      <c r="L61" s="513" t="s">
        <v>40</v>
      </c>
      <c r="M61" s="539">
        <f t="shared" si="19"/>
        <v>0</v>
      </c>
      <c r="N61" s="540">
        <v>0</v>
      </c>
      <c r="O61" s="540">
        <v>0</v>
      </c>
      <c r="P61" s="540">
        <v>0</v>
      </c>
      <c r="Q61" s="540">
        <v>0</v>
      </c>
      <c r="R61" s="540">
        <v>0</v>
      </c>
      <c r="S61" s="540">
        <v>0</v>
      </c>
      <c r="T61" s="540">
        <v>0</v>
      </c>
      <c r="U61" s="540">
        <v>0</v>
      </c>
      <c r="V61" s="540">
        <v>0</v>
      </c>
      <c r="W61" s="540">
        <v>0</v>
      </c>
      <c r="X61" s="540">
        <v>-912.5</v>
      </c>
      <c r="Y61" s="540">
        <v>-3650</v>
      </c>
      <c r="Z61" s="540">
        <v>-3650</v>
      </c>
      <c r="AA61" s="540">
        <v>-3650</v>
      </c>
      <c r="AB61" s="540">
        <v>-3650</v>
      </c>
      <c r="AC61" s="540">
        <v>-3650</v>
      </c>
      <c r="AD61" s="540">
        <v>-3650</v>
      </c>
      <c r="AE61" s="540">
        <v>-3650</v>
      </c>
      <c r="AF61" s="540">
        <v>-3650</v>
      </c>
      <c r="AG61" s="540">
        <v>-3650</v>
      </c>
      <c r="AH61" s="540">
        <v>-3650</v>
      </c>
      <c r="AI61" s="540">
        <v>-3650</v>
      </c>
      <c r="AJ61" s="540">
        <v>-3650</v>
      </c>
      <c r="AK61" s="540">
        <v>-3650</v>
      </c>
      <c r="AL61" s="540">
        <v>-3650</v>
      </c>
      <c r="AM61" s="540">
        <v>-2737.5</v>
      </c>
      <c r="AN61" s="540">
        <v>0</v>
      </c>
      <c r="AO61" s="540">
        <v>0</v>
      </c>
      <c r="AP61" s="540">
        <v>0</v>
      </c>
      <c r="AQ61" s="540">
        <v>0</v>
      </c>
      <c r="AR61" s="540">
        <v>0</v>
      </c>
      <c r="AS61" s="540">
        <v>0</v>
      </c>
      <c r="AT61" s="540">
        <v>0</v>
      </c>
      <c r="AU61" s="540">
        <v>0</v>
      </c>
      <c r="AV61" s="540">
        <v>0</v>
      </c>
      <c r="AW61" s="540">
        <v>0</v>
      </c>
      <c r="AX61" s="540">
        <v>0</v>
      </c>
      <c r="AY61" s="540">
        <v>0</v>
      </c>
      <c r="AZ61" s="540">
        <v>0</v>
      </c>
      <c r="BA61" s="540">
        <v>0</v>
      </c>
      <c r="BB61" s="540">
        <v>0</v>
      </c>
      <c r="BC61" s="540">
        <v>0</v>
      </c>
      <c r="BD61" s="540">
        <v>0</v>
      </c>
      <c r="BE61" s="540">
        <v>0</v>
      </c>
      <c r="BF61" s="540">
        <v>0</v>
      </c>
      <c r="BG61" s="540">
        <v>0</v>
      </c>
      <c r="BH61" s="540">
        <v>0</v>
      </c>
      <c r="BI61" s="540">
        <v>0</v>
      </c>
      <c r="BJ61" s="540">
        <v>0</v>
      </c>
      <c r="BK61" s="540">
        <v>0</v>
      </c>
      <c r="BL61" s="540">
        <v>0</v>
      </c>
      <c r="BM61" s="541">
        <v>0</v>
      </c>
    </row>
    <row r="62" spans="1:65" ht="16.5" outlineLevel="1" thickBot="1" x14ac:dyDescent="0.3">
      <c r="A62" s="870"/>
      <c r="B62" s="473" t="str">
        <f t="shared" si="20"/>
        <v>Inverter refresh</v>
      </c>
      <c r="C62" s="408">
        <f>C26</f>
        <v>0</v>
      </c>
      <c r="D62" s="11"/>
      <c r="E62" s="392">
        <v>0</v>
      </c>
      <c r="F62" s="395">
        <v>0</v>
      </c>
      <c r="G62" s="494">
        <v>0</v>
      </c>
      <c r="H62" s="262">
        <f t="shared" ref="H62:I62" si="29">H39</f>
        <v>0</v>
      </c>
      <c r="I62" s="478">
        <f t="shared" si="29"/>
        <v>240</v>
      </c>
      <c r="K62" s="429" t="str">
        <f t="shared" si="18"/>
        <v>Inverter refresh</v>
      </c>
      <c r="L62" s="513" t="s">
        <v>40</v>
      </c>
      <c r="M62" s="539">
        <f t="shared" si="19"/>
        <v>0</v>
      </c>
      <c r="N62" s="540">
        <v>0</v>
      </c>
      <c r="O62" s="540">
        <v>0</v>
      </c>
      <c r="P62" s="540">
        <v>0</v>
      </c>
      <c r="Q62" s="540">
        <v>0</v>
      </c>
      <c r="R62" s="540">
        <v>0</v>
      </c>
      <c r="S62" s="540">
        <v>0</v>
      </c>
      <c r="T62" s="540">
        <v>0</v>
      </c>
      <c r="U62" s="540">
        <v>0</v>
      </c>
      <c r="V62" s="540">
        <v>0</v>
      </c>
      <c r="W62" s="540">
        <v>0</v>
      </c>
      <c r="X62" s="540">
        <v>0</v>
      </c>
      <c r="Y62" s="540">
        <v>0</v>
      </c>
      <c r="Z62" s="540">
        <v>0</v>
      </c>
      <c r="AA62" s="540">
        <v>0</v>
      </c>
      <c r="AB62" s="540">
        <v>0</v>
      </c>
      <c r="AC62" s="540">
        <v>0</v>
      </c>
      <c r="AD62" s="540">
        <v>0</v>
      </c>
      <c r="AE62" s="540">
        <v>0</v>
      </c>
      <c r="AF62" s="540">
        <v>0</v>
      </c>
      <c r="AG62" s="540">
        <v>0</v>
      </c>
      <c r="AH62" s="540">
        <v>0</v>
      </c>
      <c r="AI62" s="540">
        <v>0</v>
      </c>
      <c r="AJ62" s="540">
        <v>0</v>
      </c>
      <c r="AK62" s="540">
        <v>0</v>
      </c>
      <c r="AL62" s="540">
        <v>0</v>
      </c>
      <c r="AM62" s="540">
        <v>0</v>
      </c>
      <c r="AN62" s="540">
        <v>0</v>
      </c>
      <c r="AO62" s="540">
        <v>0</v>
      </c>
      <c r="AP62" s="540">
        <v>0</v>
      </c>
      <c r="AQ62" s="540">
        <v>0</v>
      </c>
      <c r="AR62" s="540">
        <v>0</v>
      </c>
      <c r="AS62" s="540">
        <v>0</v>
      </c>
      <c r="AT62" s="540">
        <v>0</v>
      </c>
      <c r="AU62" s="540">
        <v>0</v>
      </c>
      <c r="AV62" s="540">
        <v>0</v>
      </c>
      <c r="AW62" s="540">
        <v>0</v>
      </c>
      <c r="AX62" s="540">
        <v>0</v>
      </c>
      <c r="AY62" s="540">
        <v>0</v>
      </c>
      <c r="AZ62" s="540">
        <v>0</v>
      </c>
      <c r="BA62" s="540">
        <v>0</v>
      </c>
      <c r="BB62" s="540">
        <v>0</v>
      </c>
      <c r="BC62" s="540">
        <v>0</v>
      </c>
      <c r="BD62" s="540">
        <v>0</v>
      </c>
      <c r="BE62" s="540">
        <v>0</v>
      </c>
      <c r="BF62" s="540">
        <v>0</v>
      </c>
      <c r="BG62" s="540">
        <v>0</v>
      </c>
      <c r="BH62" s="540">
        <v>0</v>
      </c>
      <c r="BI62" s="540">
        <v>0</v>
      </c>
      <c r="BJ62" s="540">
        <v>0</v>
      </c>
      <c r="BK62" s="540">
        <v>0</v>
      </c>
      <c r="BL62" s="540">
        <v>0</v>
      </c>
      <c r="BM62" s="541">
        <v>0</v>
      </c>
    </row>
    <row r="63" spans="1:65" ht="16.5" outlineLevel="1" thickBot="1" x14ac:dyDescent="0.3">
      <c r="A63" s="871"/>
      <c r="B63" s="473" t="str">
        <f t="shared" si="20"/>
        <v>Unused module</v>
      </c>
      <c r="C63" s="838"/>
      <c r="D63" s="403"/>
      <c r="E63" s="839">
        <v>0</v>
      </c>
      <c r="F63" s="840">
        <v>0</v>
      </c>
      <c r="G63" s="841">
        <v>0</v>
      </c>
      <c r="H63" s="842"/>
      <c r="I63" s="843"/>
      <c r="K63" s="429" t="str">
        <f t="shared" si="18"/>
        <v>Unused module</v>
      </c>
      <c r="L63" s="513" t="s">
        <v>40</v>
      </c>
      <c r="M63" s="539">
        <f t="shared" si="19"/>
        <v>0</v>
      </c>
      <c r="N63" s="535">
        <v>0</v>
      </c>
      <c r="O63" s="535">
        <v>0</v>
      </c>
      <c r="P63" s="535">
        <v>0</v>
      </c>
      <c r="Q63" s="535">
        <v>0</v>
      </c>
      <c r="R63" s="535">
        <v>0</v>
      </c>
      <c r="S63" s="535">
        <v>0</v>
      </c>
      <c r="T63" s="535">
        <v>0</v>
      </c>
      <c r="U63" s="535">
        <v>0</v>
      </c>
      <c r="V63" s="535">
        <v>0</v>
      </c>
      <c r="W63" s="535">
        <v>0</v>
      </c>
      <c r="X63" s="535">
        <v>0</v>
      </c>
      <c r="Y63" s="535">
        <v>0</v>
      </c>
      <c r="Z63" s="535">
        <v>0</v>
      </c>
      <c r="AA63" s="535">
        <v>0</v>
      </c>
      <c r="AB63" s="535">
        <v>0</v>
      </c>
      <c r="AC63" s="535">
        <v>0</v>
      </c>
      <c r="AD63" s="535">
        <v>0</v>
      </c>
      <c r="AE63" s="535">
        <v>0</v>
      </c>
      <c r="AF63" s="535">
        <v>0</v>
      </c>
      <c r="AG63" s="535">
        <v>0</v>
      </c>
      <c r="AH63" s="535">
        <v>0</v>
      </c>
      <c r="AI63" s="535">
        <v>0</v>
      </c>
      <c r="AJ63" s="535">
        <v>0</v>
      </c>
      <c r="AK63" s="535">
        <v>0</v>
      </c>
      <c r="AL63" s="535">
        <v>0</v>
      </c>
      <c r="AM63" s="535">
        <v>0</v>
      </c>
      <c r="AN63" s="535">
        <v>0</v>
      </c>
      <c r="AO63" s="535">
        <v>0</v>
      </c>
      <c r="AP63" s="535">
        <v>0</v>
      </c>
      <c r="AQ63" s="535">
        <v>0</v>
      </c>
      <c r="AR63" s="535">
        <v>0</v>
      </c>
      <c r="AS63" s="535">
        <v>0</v>
      </c>
      <c r="AT63" s="535">
        <v>0</v>
      </c>
      <c r="AU63" s="535">
        <v>0</v>
      </c>
      <c r="AV63" s="535">
        <v>0</v>
      </c>
      <c r="AW63" s="535">
        <v>0</v>
      </c>
      <c r="AX63" s="535">
        <v>0</v>
      </c>
      <c r="AY63" s="535">
        <v>0</v>
      </c>
      <c r="AZ63" s="535">
        <v>0</v>
      </c>
      <c r="BA63" s="535">
        <v>0</v>
      </c>
      <c r="BB63" s="535">
        <v>0</v>
      </c>
      <c r="BC63" s="535">
        <v>0</v>
      </c>
      <c r="BD63" s="535">
        <v>0</v>
      </c>
      <c r="BE63" s="535">
        <v>0</v>
      </c>
      <c r="BF63" s="535">
        <v>0</v>
      </c>
      <c r="BG63" s="535">
        <v>0</v>
      </c>
      <c r="BH63" s="535">
        <v>0</v>
      </c>
      <c r="BI63" s="535">
        <v>0</v>
      </c>
      <c r="BJ63" s="535">
        <v>0</v>
      </c>
      <c r="BK63" s="535">
        <v>0</v>
      </c>
      <c r="BL63" s="535">
        <v>0</v>
      </c>
      <c r="BM63" s="536">
        <v>0</v>
      </c>
    </row>
    <row r="64" spans="1:65" ht="16.5" outlineLevel="1" thickBot="1" x14ac:dyDescent="0.3">
      <c r="A64" s="871"/>
      <c r="B64" s="473" t="str">
        <f t="shared" si="20"/>
        <v>Unused module</v>
      </c>
      <c r="C64" s="838"/>
      <c r="D64" s="403"/>
      <c r="E64" s="839">
        <v>0</v>
      </c>
      <c r="F64" s="840">
        <v>0</v>
      </c>
      <c r="G64" s="841">
        <v>0</v>
      </c>
      <c r="H64" s="842"/>
      <c r="I64" s="843"/>
      <c r="K64" s="429" t="str">
        <f t="shared" si="18"/>
        <v>Unused module</v>
      </c>
      <c r="L64" s="513" t="s">
        <v>40</v>
      </c>
      <c r="M64" s="539">
        <f t="shared" si="19"/>
        <v>0</v>
      </c>
      <c r="N64" s="535">
        <v>0</v>
      </c>
      <c r="O64" s="535">
        <v>0</v>
      </c>
      <c r="P64" s="535">
        <v>0</v>
      </c>
      <c r="Q64" s="535">
        <v>0</v>
      </c>
      <c r="R64" s="535">
        <v>0</v>
      </c>
      <c r="S64" s="535">
        <v>0</v>
      </c>
      <c r="T64" s="535">
        <v>0</v>
      </c>
      <c r="U64" s="535">
        <v>0</v>
      </c>
      <c r="V64" s="535">
        <v>0</v>
      </c>
      <c r="W64" s="535">
        <v>0</v>
      </c>
      <c r="X64" s="535">
        <v>0</v>
      </c>
      <c r="Y64" s="535">
        <v>0</v>
      </c>
      <c r="Z64" s="535">
        <v>0</v>
      </c>
      <c r="AA64" s="535">
        <v>0</v>
      </c>
      <c r="AB64" s="535">
        <v>0</v>
      </c>
      <c r="AC64" s="535">
        <v>0</v>
      </c>
      <c r="AD64" s="535">
        <v>0</v>
      </c>
      <c r="AE64" s="535">
        <v>0</v>
      </c>
      <c r="AF64" s="535">
        <v>0</v>
      </c>
      <c r="AG64" s="535">
        <v>0</v>
      </c>
      <c r="AH64" s="535">
        <v>0</v>
      </c>
      <c r="AI64" s="535">
        <v>0</v>
      </c>
      <c r="AJ64" s="535">
        <v>0</v>
      </c>
      <c r="AK64" s="535">
        <v>0</v>
      </c>
      <c r="AL64" s="535">
        <v>0</v>
      </c>
      <c r="AM64" s="535">
        <v>0</v>
      </c>
      <c r="AN64" s="535">
        <v>0</v>
      </c>
      <c r="AO64" s="535">
        <v>0</v>
      </c>
      <c r="AP64" s="535">
        <v>0</v>
      </c>
      <c r="AQ64" s="535">
        <v>0</v>
      </c>
      <c r="AR64" s="535">
        <v>0</v>
      </c>
      <c r="AS64" s="535">
        <v>0</v>
      </c>
      <c r="AT64" s="535">
        <v>0</v>
      </c>
      <c r="AU64" s="535">
        <v>0</v>
      </c>
      <c r="AV64" s="535">
        <v>0</v>
      </c>
      <c r="AW64" s="535">
        <v>0</v>
      </c>
      <c r="AX64" s="535">
        <v>0</v>
      </c>
      <c r="AY64" s="535">
        <v>0</v>
      </c>
      <c r="AZ64" s="535">
        <v>0</v>
      </c>
      <c r="BA64" s="535">
        <v>0</v>
      </c>
      <c r="BB64" s="535">
        <v>0</v>
      </c>
      <c r="BC64" s="535">
        <v>0</v>
      </c>
      <c r="BD64" s="535">
        <v>0</v>
      </c>
      <c r="BE64" s="535">
        <v>0</v>
      </c>
      <c r="BF64" s="535">
        <v>0</v>
      </c>
      <c r="BG64" s="535">
        <v>0</v>
      </c>
      <c r="BH64" s="535">
        <v>0</v>
      </c>
      <c r="BI64" s="535">
        <v>0</v>
      </c>
      <c r="BJ64" s="535">
        <v>0</v>
      </c>
      <c r="BK64" s="535">
        <v>0</v>
      </c>
      <c r="BL64" s="535">
        <v>0</v>
      </c>
      <c r="BM64" s="536">
        <v>0</v>
      </c>
    </row>
    <row r="65" spans="1:65" ht="16.5" outlineLevel="1" thickBot="1" x14ac:dyDescent="0.3">
      <c r="A65" s="871"/>
      <c r="B65" s="473" t="str">
        <f t="shared" si="20"/>
        <v>Unused module</v>
      </c>
      <c r="C65" s="838"/>
      <c r="D65" s="403"/>
      <c r="E65" s="839">
        <v>0</v>
      </c>
      <c r="F65" s="840">
        <v>0</v>
      </c>
      <c r="G65" s="841">
        <v>0</v>
      </c>
      <c r="H65" s="842"/>
      <c r="I65" s="843"/>
      <c r="K65" s="429" t="str">
        <f t="shared" si="18"/>
        <v>Unused module</v>
      </c>
      <c r="L65" s="513" t="s">
        <v>40</v>
      </c>
      <c r="M65" s="539">
        <f t="shared" si="19"/>
        <v>0</v>
      </c>
      <c r="N65" s="535">
        <v>0</v>
      </c>
      <c r="O65" s="535">
        <v>0</v>
      </c>
      <c r="P65" s="535">
        <v>0</v>
      </c>
      <c r="Q65" s="535">
        <v>0</v>
      </c>
      <c r="R65" s="535">
        <v>0</v>
      </c>
      <c r="S65" s="535">
        <v>0</v>
      </c>
      <c r="T65" s="535">
        <v>0</v>
      </c>
      <c r="U65" s="535">
        <v>0</v>
      </c>
      <c r="V65" s="535">
        <v>0</v>
      </c>
      <c r="W65" s="535">
        <v>0</v>
      </c>
      <c r="X65" s="535">
        <v>0</v>
      </c>
      <c r="Y65" s="535">
        <v>0</v>
      </c>
      <c r="Z65" s="535">
        <v>0</v>
      </c>
      <c r="AA65" s="535">
        <v>0</v>
      </c>
      <c r="AB65" s="535">
        <v>0</v>
      </c>
      <c r="AC65" s="535">
        <v>0</v>
      </c>
      <c r="AD65" s="535">
        <v>0</v>
      </c>
      <c r="AE65" s="535">
        <v>0</v>
      </c>
      <c r="AF65" s="535">
        <v>0</v>
      </c>
      <c r="AG65" s="535">
        <v>0</v>
      </c>
      <c r="AH65" s="535">
        <v>0</v>
      </c>
      <c r="AI65" s="535">
        <v>0</v>
      </c>
      <c r="AJ65" s="535">
        <v>0</v>
      </c>
      <c r="AK65" s="535">
        <v>0</v>
      </c>
      <c r="AL65" s="535">
        <v>0</v>
      </c>
      <c r="AM65" s="535">
        <v>0</v>
      </c>
      <c r="AN65" s="535">
        <v>0</v>
      </c>
      <c r="AO65" s="535">
        <v>0</v>
      </c>
      <c r="AP65" s="535">
        <v>0</v>
      </c>
      <c r="AQ65" s="535">
        <v>0</v>
      </c>
      <c r="AR65" s="535">
        <v>0</v>
      </c>
      <c r="AS65" s="535">
        <v>0</v>
      </c>
      <c r="AT65" s="535">
        <v>0</v>
      </c>
      <c r="AU65" s="535">
        <v>0</v>
      </c>
      <c r="AV65" s="535">
        <v>0</v>
      </c>
      <c r="AW65" s="535">
        <v>0</v>
      </c>
      <c r="AX65" s="535">
        <v>0</v>
      </c>
      <c r="AY65" s="535">
        <v>0</v>
      </c>
      <c r="AZ65" s="535">
        <v>0</v>
      </c>
      <c r="BA65" s="535">
        <v>0</v>
      </c>
      <c r="BB65" s="535">
        <v>0</v>
      </c>
      <c r="BC65" s="535">
        <v>0</v>
      </c>
      <c r="BD65" s="535">
        <v>0</v>
      </c>
      <c r="BE65" s="535">
        <v>0</v>
      </c>
      <c r="BF65" s="535">
        <v>0</v>
      </c>
      <c r="BG65" s="535">
        <v>0</v>
      </c>
      <c r="BH65" s="535">
        <v>0</v>
      </c>
      <c r="BI65" s="535">
        <v>0</v>
      </c>
      <c r="BJ65" s="535">
        <v>0</v>
      </c>
      <c r="BK65" s="535">
        <v>0</v>
      </c>
      <c r="BL65" s="535">
        <v>0</v>
      </c>
      <c r="BM65" s="536">
        <v>0</v>
      </c>
    </row>
    <row r="66" spans="1:65" ht="16.5" outlineLevel="1" thickBot="1" x14ac:dyDescent="0.3">
      <c r="A66" s="871"/>
      <c r="B66" s="473" t="str">
        <f t="shared" si="20"/>
        <v>Unused module</v>
      </c>
      <c r="C66" s="838"/>
      <c r="D66" s="403"/>
      <c r="E66" s="839">
        <v>0</v>
      </c>
      <c r="F66" s="840">
        <v>0</v>
      </c>
      <c r="G66" s="841">
        <v>0</v>
      </c>
      <c r="H66" s="842"/>
      <c r="I66" s="843"/>
      <c r="K66" s="429" t="str">
        <f t="shared" si="18"/>
        <v>Unused module</v>
      </c>
      <c r="L66" s="513" t="s">
        <v>40</v>
      </c>
      <c r="M66" s="539">
        <f t="shared" si="19"/>
        <v>0</v>
      </c>
      <c r="N66" s="535">
        <v>0</v>
      </c>
      <c r="O66" s="535">
        <v>0</v>
      </c>
      <c r="P66" s="535">
        <v>0</v>
      </c>
      <c r="Q66" s="535">
        <v>0</v>
      </c>
      <c r="R66" s="535">
        <v>0</v>
      </c>
      <c r="S66" s="535">
        <v>0</v>
      </c>
      <c r="T66" s="535">
        <v>0</v>
      </c>
      <c r="U66" s="535">
        <v>0</v>
      </c>
      <c r="V66" s="535">
        <v>0</v>
      </c>
      <c r="W66" s="535">
        <v>0</v>
      </c>
      <c r="X66" s="535">
        <v>0</v>
      </c>
      <c r="Y66" s="535">
        <v>0</v>
      </c>
      <c r="Z66" s="535">
        <v>0</v>
      </c>
      <c r="AA66" s="535">
        <v>0</v>
      </c>
      <c r="AB66" s="535">
        <v>0</v>
      </c>
      <c r="AC66" s="535">
        <v>0</v>
      </c>
      <c r="AD66" s="535">
        <v>0</v>
      </c>
      <c r="AE66" s="535">
        <v>0</v>
      </c>
      <c r="AF66" s="535">
        <v>0</v>
      </c>
      <c r="AG66" s="535">
        <v>0</v>
      </c>
      <c r="AH66" s="535">
        <v>0</v>
      </c>
      <c r="AI66" s="535">
        <v>0</v>
      </c>
      <c r="AJ66" s="535">
        <v>0</v>
      </c>
      <c r="AK66" s="535">
        <v>0</v>
      </c>
      <c r="AL66" s="535">
        <v>0</v>
      </c>
      <c r="AM66" s="535">
        <v>0</v>
      </c>
      <c r="AN66" s="535">
        <v>0</v>
      </c>
      <c r="AO66" s="535">
        <v>0</v>
      </c>
      <c r="AP66" s="535">
        <v>0</v>
      </c>
      <c r="AQ66" s="535">
        <v>0</v>
      </c>
      <c r="AR66" s="535">
        <v>0</v>
      </c>
      <c r="AS66" s="535">
        <v>0</v>
      </c>
      <c r="AT66" s="535">
        <v>0</v>
      </c>
      <c r="AU66" s="535">
        <v>0</v>
      </c>
      <c r="AV66" s="535">
        <v>0</v>
      </c>
      <c r="AW66" s="535">
        <v>0</v>
      </c>
      <c r="AX66" s="535">
        <v>0</v>
      </c>
      <c r="AY66" s="535">
        <v>0</v>
      </c>
      <c r="AZ66" s="535">
        <v>0</v>
      </c>
      <c r="BA66" s="535">
        <v>0</v>
      </c>
      <c r="BB66" s="535">
        <v>0</v>
      </c>
      <c r="BC66" s="535">
        <v>0</v>
      </c>
      <c r="BD66" s="535">
        <v>0</v>
      </c>
      <c r="BE66" s="535">
        <v>0</v>
      </c>
      <c r="BF66" s="535">
        <v>0</v>
      </c>
      <c r="BG66" s="535">
        <v>0</v>
      </c>
      <c r="BH66" s="535">
        <v>0</v>
      </c>
      <c r="BI66" s="535">
        <v>0</v>
      </c>
      <c r="BJ66" s="535">
        <v>0</v>
      </c>
      <c r="BK66" s="535">
        <v>0</v>
      </c>
      <c r="BL66" s="535">
        <v>0</v>
      </c>
      <c r="BM66" s="536">
        <v>0</v>
      </c>
    </row>
    <row r="67" spans="1:65" ht="16.5" outlineLevel="1" thickBot="1" x14ac:dyDescent="0.3">
      <c r="A67" s="871"/>
      <c r="B67" s="473" t="str">
        <f t="shared" si="20"/>
        <v>Unused module</v>
      </c>
      <c r="C67" s="838"/>
      <c r="D67" s="403"/>
      <c r="E67" s="839">
        <v>0</v>
      </c>
      <c r="F67" s="840">
        <v>0</v>
      </c>
      <c r="G67" s="841">
        <v>0</v>
      </c>
      <c r="H67" s="842"/>
      <c r="I67" s="843"/>
      <c r="K67" s="429" t="str">
        <f t="shared" si="18"/>
        <v>Unused module</v>
      </c>
      <c r="L67" s="513" t="s">
        <v>40</v>
      </c>
      <c r="M67" s="539">
        <f t="shared" si="19"/>
        <v>0</v>
      </c>
      <c r="N67" s="535">
        <v>0</v>
      </c>
      <c r="O67" s="535">
        <v>0</v>
      </c>
      <c r="P67" s="535">
        <v>0</v>
      </c>
      <c r="Q67" s="535">
        <v>0</v>
      </c>
      <c r="R67" s="535">
        <v>0</v>
      </c>
      <c r="S67" s="535">
        <v>0</v>
      </c>
      <c r="T67" s="535">
        <v>0</v>
      </c>
      <c r="U67" s="535">
        <v>0</v>
      </c>
      <c r="V67" s="535">
        <v>0</v>
      </c>
      <c r="W67" s="535">
        <v>0</v>
      </c>
      <c r="X67" s="535">
        <v>0</v>
      </c>
      <c r="Y67" s="535">
        <v>0</v>
      </c>
      <c r="Z67" s="535">
        <v>0</v>
      </c>
      <c r="AA67" s="535">
        <v>0</v>
      </c>
      <c r="AB67" s="535">
        <v>0</v>
      </c>
      <c r="AC67" s="535">
        <v>0</v>
      </c>
      <c r="AD67" s="535">
        <v>0</v>
      </c>
      <c r="AE67" s="535">
        <v>0</v>
      </c>
      <c r="AF67" s="535">
        <v>0</v>
      </c>
      <c r="AG67" s="535">
        <v>0</v>
      </c>
      <c r="AH67" s="535">
        <v>0</v>
      </c>
      <c r="AI67" s="535">
        <v>0</v>
      </c>
      <c r="AJ67" s="535">
        <v>0</v>
      </c>
      <c r="AK67" s="535">
        <v>0</v>
      </c>
      <c r="AL67" s="535">
        <v>0</v>
      </c>
      <c r="AM67" s="535">
        <v>0</v>
      </c>
      <c r="AN67" s="535">
        <v>0</v>
      </c>
      <c r="AO67" s="535">
        <v>0</v>
      </c>
      <c r="AP67" s="535">
        <v>0</v>
      </c>
      <c r="AQ67" s="535">
        <v>0</v>
      </c>
      <c r="AR67" s="535">
        <v>0</v>
      </c>
      <c r="AS67" s="535">
        <v>0</v>
      </c>
      <c r="AT67" s="535">
        <v>0</v>
      </c>
      <c r="AU67" s="535">
        <v>0</v>
      </c>
      <c r="AV67" s="535">
        <v>0</v>
      </c>
      <c r="AW67" s="535">
        <v>0</v>
      </c>
      <c r="AX67" s="535">
        <v>0</v>
      </c>
      <c r="AY67" s="535">
        <v>0</v>
      </c>
      <c r="AZ67" s="535">
        <v>0</v>
      </c>
      <c r="BA67" s="535">
        <v>0</v>
      </c>
      <c r="BB67" s="535">
        <v>0</v>
      </c>
      <c r="BC67" s="535">
        <v>0</v>
      </c>
      <c r="BD67" s="535">
        <v>0</v>
      </c>
      <c r="BE67" s="535">
        <v>0</v>
      </c>
      <c r="BF67" s="535">
        <v>0</v>
      </c>
      <c r="BG67" s="535">
        <v>0</v>
      </c>
      <c r="BH67" s="535">
        <v>0</v>
      </c>
      <c r="BI67" s="535">
        <v>0</v>
      </c>
      <c r="BJ67" s="535">
        <v>0</v>
      </c>
      <c r="BK67" s="535">
        <v>0</v>
      </c>
      <c r="BL67" s="535">
        <v>0</v>
      </c>
      <c r="BM67" s="536">
        <v>0</v>
      </c>
    </row>
    <row r="68" spans="1:65" ht="16.5" outlineLevel="1" thickBot="1" x14ac:dyDescent="0.3">
      <c r="A68" s="871"/>
      <c r="B68" s="473" t="str">
        <f t="shared" si="20"/>
        <v>Unused module</v>
      </c>
      <c r="C68" s="838"/>
      <c r="D68" s="403"/>
      <c r="E68" s="839">
        <v>0</v>
      </c>
      <c r="F68" s="840">
        <v>0</v>
      </c>
      <c r="G68" s="841">
        <v>0</v>
      </c>
      <c r="H68" s="842"/>
      <c r="I68" s="843"/>
      <c r="K68" s="429" t="str">
        <f t="shared" si="18"/>
        <v>Unused module</v>
      </c>
      <c r="L68" s="513" t="s">
        <v>40</v>
      </c>
      <c r="M68" s="539">
        <f t="shared" si="19"/>
        <v>0</v>
      </c>
      <c r="N68" s="535">
        <v>0</v>
      </c>
      <c r="O68" s="535">
        <v>0</v>
      </c>
      <c r="P68" s="535">
        <v>0</v>
      </c>
      <c r="Q68" s="535">
        <v>0</v>
      </c>
      <c r="R68" s="535">
        <v>0</v>
      </c>
      <c r="S68" s="535">
        <v>0</v>
      </c>
      <c r="T68" s="535">
        <v>0</v>
      </c>
      <c r="U68" s="535">
        <v>0</v>
      </c>
      <c r="V68" s="535">
        <v>0</v>
      </c>
      <c r="W68" s="535">
        <v>0</v>
      </c>
      <c r="X68" s="535">
        <v>0</v>
      </c>
      <c r="Y68" s="535">
        <v>0</v>
      </c>
      <c r="Z68" s="535">
        <v>0</v>
      </c>
      <c r="AA68" s="535">
        <v>0</v>
      </c>
      <c r="AB68" s="535">
        <v>0</v>
      </c>
      <c r="AC68" s="535">
        <v>0</v>
      </c>
      <c r="AD68" s="535">
        <v>0</v>
      </c>
      <c r="AE68" s="535">
        <v>0</v>
      </c>
      <c r="AF68" s="535">
        <v>0</v>
      </c>
      <c r="AG68" s="535">
        <v>0</v>
      </c>
      <c r="AH68" s="535">
        <v>0</v>
      </c>
      <c r="AI68" s="535">
        <v>0</v>
      </c>
      <c r="AJ68" s="535">
        <v>0</v>
      </c>
      <c r="AK68" s="535">
        <v>0</v>
      </c>
      <c r="AL68" s="535">
        <v>0</v>
      </c>
      <c r="AM68" s="535">
        <v>0</v>
      </c>
      <c r="AN68" s="535">
        <v>0</v>
      </c>
      <c r="AO68" s="535">
        <v>0</v>
      </c>
      <c r="AP68" s="535">
        <v>0</v>
      </c>
      <c r="AQ68" s="535">
        <v>0</v>
      </c>
      <c r="AR68" s="535">
        <v>0</v>
      </c>
      <c r="AS68" s="535">
        <v>0</v>
      </c>
      <c r="AT68" s="535">
        <v>0</v>
      </c>
      <c r="AU68" s="535">
        <v>0</v>
      </c>
      <c r="AV68" s="535">
        <v>0</v>
      </c>
      <c r="AW68" s="535">
        <v>0</v>
      </c>
      <c r="AX68" s="535">
        <v>0</v>
      </c>
      <c r="AY68" s="535">
        <v>0</v>
      </c>
      <c r="AZ68" s="535">
        <v>0</v>
      </c>
      <c r="BA68" s="535">
        <v>0</v>
      </c>
      <c r="BB68" s="535">
        <v>0</v>
      </c>
      <c r="BC68" s="535">
        <v>0</v>
      </c>
      <c r="BD68" s="535">
        <v>0</v>
      </c>
      <c r="BE68" s="535">
        <v>0</v>
      </c>
      <c r="BF68" s="535">
        <v>0</v>
      </c>
      <c r="BG68" s="535">
        <v>0</v>
      </c>
      <c r="BH68" s="535">
        <v>0</v>
      </c>
      <c r="BI68" s="535">
        <v>0</v>
      </c>
      <c r="BJ68" s="535">
        <v>0</v>
      </c>
      <c r="BK68" s="535">
        <v>0</v>
      </c>
      <c r="BL68" s="535">
        <v>0</v>
      </c>
      <c r="BM68" s="536">
        <v>0</v>
      </c>
    </row>
    <row r="69" spans="1:65" ht="16.5" outlineLevel="1" thickBot="1" x14ac:dyDescent="0.3">
      <c r="A69" s="871"/>
      <c r="B69" s="473" t="str">
        <f t="shared" si="20"/>
        <v>Unused module</v>
      </c>
      <c r="C69" s="838"/>
      <c r="D69" s="403"/>
      <c r="E69" s="839">
        <v>0</v>
      </c>
      <c r="F69" s="840">
        <v>0</v>
      </c>
      <c r="G69" s="841">
        <v>0</v>
      </c>
      <c r="H69" s="842"/>
      <c r="I69" s="843"/>
      <c r="K69" s="429" t="str">
        <f t="shared" si="18"/>
        <v>Unused module</v>
      </c>
      <c r="L69" s="513" t="s">
        <v>40</v>
      </c>
      <c r="M69" s="539">
        <f t="shared" si="19"/>
        <v>0</v>
      </c>
      <c r="N69" s="535">
        <v>0</v>
      </c>
      <c r="O69" s="535">
        <v>0</v>
      </c>
      <c r="P69" s="535">
        <v>0</v>
      </c>
      <c r="Q69" s="535">
        <v>0</v>
      </c>
      <c r="R69" s="535">
        <v>0</v>
      </c>
      <c r="S69" s="535">
        <v>0</v>
      </c>
      <c r="T69" s="535">
        <v>0</v>
      </c>
      <c r="U69" s="535">
        <v>0</v>
      </c>
      <c r="V69" s="535">
        <v>0</v>
      </c>
      <c r="W69" s="535">
        <v>0</v>
      </c>
      <c r="X69" s="535">
        <v>0</v>
      </c>
      <c r="Y69" s="535">
        <v>0</v>
      </c>
      <c r="Z69" s="535">
        <v>0</v>
      </c>
      <c r="AA69" s="535">
        <v>0</v>
      </c>
      <c r="AB69" s="535">
        <v>0</v>
      </c>
      <c r="AC69" s="535">
        <v>0</v>
      </c>
      <c r="AD69" s="535">
        <v>0</v>
      </c>
      <c r="AE69" s="535">
        <v>0</v>
      </c>
      <c r="AF69" s="535">
        <v>0</v>
      </c>
      <c r="AG69" s="535">
        <v>0</v>
      </c>
      <c r="AH69" s="535">
        <v>0</v>
      </c>
      <c r="AI69" s="535">
        <v>0</v>
      </c>
      <c r="AJ69" s="535">
        <v>0</v>
      </c>
      <c r="AK69" s="535">
        <v>0</v>
      </c>
      <c r="AL69" s="535">
        <v>0</v>
      </c>
      <c r="AM69" s="535">
        <v>0</v>
      </c>
      <c r="AN69" s="535">
        <v>0</v>
      </c>
      <c r="AO69" s="535">
        <v>0</v>
      </c>
      <c r="AP69" s="535">
        <v>0</v>
      </c>
      <c r="AQ69" s="535">
        <v>0</v>
      </c>
      <c r="AR69" s="535">
        <v>0</v>
      </c>
      <c r="AS69" s="535">
        <v>0</v>
      </c>
      <c r="AT69" s="535">
        <v>0</v>
      </c>
      <c r="AU69" s="535">
        <v>0</v>
      </c>
      <c r="AV69" s="535">
        <v>0</v>
      </c>
      <c r="AW69" s="535">
        <v>0</v>
      </c>
      <c r="AX69" s="535">
        <v>0</v>
      </c>
      <c r="AY69" s="535">
        <v>0</v>
      </c>
      <c r="AZ69" s="535">
        <v>0</v>
      </c>
      <c r="BA69" s="535">
        <v>0</v>
      </c>
      <c r="BB69" s="535">
        <v>0</v>
      </c>
      <c r="BC69" s="535">
        <v>0</v>
      </c>
      <c r="BD69" s="535">
        <v>0</v>
      </c>
      <c r="BE69" s="535">
        <v>0</v>
      </c>
      <c r="BF69" s="535">
        <v>0</v>
      </c>
      <c r="BG69" s="535">
        <v>0</v>
      </c>
      <c r="BH69" s="535">
        <v>0</v>
      </c>
      <c r="BI69" s="535">
        <v>0</v>
      </c>
      <c r="BJ69" s="535">
        <v>0</v>
      </c>
      <c r="BK69" s="535">
        <v>0</v>
      </c>
      <c r="BL69" s="535">
        <v>0</v>
      </c>
      <c r="BM69" s="536">
        <v>0</v>
      </c>
    </row>
    <row r="70" spans="1:65" ht="16.5" outlineLevel="1" thickBot="1" x14ac:dyDescent="0.3">
      <c r="A70" s="871"/>
      <c r="B70" s="473" t="str">
        <f t="shared" si="20"/>
        <v>Unused module</v>
      </c>
      <c r="C70" s="838"/>
      <c r="D70" s="403"/>
      <c r="E70" s="839">
        <v>0</v>
      </c>
      <c r="F70" s="840">
        <v>0</v>
      </c>
      <c r="G70" s="841">
        <v>0</v>
      </c>
      <c r="H70" s="842"/>
      <c r="I70" s="843"/>
      <c r="K70" s="429" t="str">
        <f t="shared" si="18"/>
        <v>Unused module</v>
      </c>
      <c r="L70" s="513" t="s">
        <v>40</v>
      </c>
      <c r="M70" s="539">
        <f t="shared" si="19"/>
        <v>0</v>
      </c>
      <c r="N70" s="535">
        <v>0</v>
      </c>
      <c r="O70" s="535">
        <v>0</v>
      </c>
      <c r="P70" s="535">
        <v>0</v>
      </c>
      <c r="Q70" s="535">
        <v>0</v>
      </c>
      <c r="R70" s="535">
        <v>0</v>
      </c>
      <c r="S70" s="535">
        <v>0</v>
      </c>
      <c r="T70" s="535">
        <v>0</v>
      </c>
      <c r="U70" s="535">
        <v>0</v>
      </c>
      <c r="V70" s="535">
        <v>0</v>
      </c>
      <c r="W70" s="535">
        <v>0</v>
      </c>
      <c r="X70" s="535">
        <v>0</v>
      </c>
      <c r="Y70" s="535">
        <v>0</v>
      </c>
      <c r="Z70" s="535">
        <v>0</v>
      </c>
      <c r="AA70" s="535">
        <v>0</v>
      </c>
      <c r="AB70" s="535">
        <v>0</v>
      </c>
      <c r="AC70" s="535">
        <v>0</v>
      </c>
      <c r="AD70" s="535">
        <v>0</v>
      </c>
      <c r="AE70" s="535">
        <v>0</v>
      </c>
      <c r="AF70" s="535">
        <v>0</v>
      </c>
      <c r="AG70" s="535">
        <v>0</v>
      </c>
      <c r="AH70" s="535">
        <v>0</v>
      </c>
      <c r="AI70" s="535">
        <v>0</v>
      </c>
      <c r="AJ70" s="535">
        <v>0</v>
      </c>
      <c r="AK70" s="535">
        <v>0</v>
      </c>
      <c r="AL70" s="535">
        <v>0</v>
      </c>
      <c r="AM70" s="535">
        <v>0</v>
      </c>
      <c r="AN70" s="535">
        <v>0</v>
      </c>
      <c r="AO70" s="535">
        <v>0</v>
      </c>
      <c r="AP70" s="535">
        <v>0</v>
      </c>
      <c r="AQ70" s="535">
        <v>0</v>
      </c>
      <c r="AR70" s="535">
        <v>0</v>
      </c>
      <c r="AS70" s="535">
        <v>0</v>
      </c>
      <c r="AT70" s="535">
        <v>0</v>
      </c>
      <c r="AU70" s="535">
        <v>0</v>
      </c>
      <c r="AV70" s="535">
        <v>0</v>
      </c>
      <c r="AW70" s="535">
        <v>0</v>
      </c>
      <c r="AX70" s="535">
        <v>0</v>
      </c>
      <c r="AY70" s="535">
        <v>0</v>
      </c>
      <c r="AZ70" s="535">
        <v>0</v>
      </c>
      <c r="BA70" s="535">
        <v>0</v>
      </c>
      <c r="BB70" s="535">
        <v>0</v>
      </c>
      <c r="BC70" s="535">
        <v>0</v>
      </c>
      <c r="BD70" s="535">
        <v>0</v>
      </c>
      <c r="BE70" s="535">
        <v>0</v>
      </c>
      <c r="BF70" s="535">
        <v>0</v>
      </c>
      <c r="BG70" s="535">
        <v>0</v>
      </c>
      <c r="BH70" s="535">
        <v>0</v>
      </c>
      <c r="BI70" s="535">
        <v>0</v>
      </c>
      <c r="BJ70" s="535">
        <v>0</v>
      </c>
      <c r="BK70" s="535">
        <v>0</v>
      </c>
      <c r="BL70" s="535">
        <v>0</v>
      </c>
      <c r="BM70" s="536">
        <v>0</v>
      </c>
    </row>
    <row r="71" spans="1:65" ht="16.5" outlineLevel="1" thickBot="1" x14ac:dyDescent="0.3">
      <c r="A71" s="871"/>
      <c r="B71" s="473" t="str">
        <f t="shared" si="20"/>
        <v>Unused module</v>
      </c>
      <c r="C71" s="838"/>
      <c r="D71" s="403"/>
      <c r="E71" s="839">
        <v>0</v>
      </c>
      <c r="F71" s="840">
        <v>0</v>
      </c>
      <c r="G71" s="841">
        <v>0</v>
      </c>
      <c r="H71" s="842"/>
      <c r="I71" s="843"/>
      <c r="K71" s="429" t="str">
        <f t="shared" si="18"/>
        <v>Unused module</v>
      </c>
      <c r="L71" s="513" t="s">
        <v>40</v>
      </c>
      <c r="M71" s="539">
        <f t="shared" si="19"/>
        <v>0</v>
      </c>
      <c r="N71" s="535">
        <v>0</v>
      </c>
      <c r="O71" s="535">
        <v>0</v>
      </c>
      <c r="P71" s="535">
        <v>0</v>
      </c>
      <c r="Q71" s="535">
        <v>0</v>
      </c>
      <c r="R71" s="535">
        <v>0</v>
      </c>
      <c r="S71" s="535">
        <v>0</v>
      </c>
      <c r="T71" s="535">
        <v>0</v>
      </c>
      <c r="U71" s="535">
        <v>0</v>
      </c>
      <c r="V71" s="535">
        <v>0</v>
      </c>
      <c r="W71" s="535">
        <v>0</v>
      </c>
      <c r="X71" s="535">
        <v>0</v>
      </c>
      <c r="Y71" s="535">
        <v>0</v>
      </c>
      <c r="Z71" s="535">
        <v>0</v>
      </c>
      <c r="AA71" s="535">
        <v>0</v>
      </c>
      <c r="AB71" s="535">
        <v>0</v>
      </c>
      <c r="AC71" s="535">
        <v>0</v>
      </c>
      <c r="AD71" s="535">
        <v>0</v>
      </c>
      <c r="AE71" s="535">
        <v>0</v>
      </c>
      <c r="AF71" s="535">
        <v>0</v>
      </c>
      <c r="AG71" s="535">
        <v>0</v>
      </c>
      <c r="AH71" s="535">
        <v>0</v>
      </c>
      <c r="AI71" s="535">
        <v>0</v>
      </c>
      <c r="AJ71" s="535">
        <v>0</v>
      </c>
      <c r="AK71" s="535">
        <v>0</v>
      </c>
      <c r="AL71" s="535">
        <v>0</v>
      </c>
      <c r="AM71" s="535">
        <v>0</v>
      </c>
      <c r="AN71" s="535">
        <v>0</v>
      </c>
      <c r="AO71" s="535">
        <v>0</v>
      </c>
      <c r="AP71" s="535">
        <v>0</v>
      </c>
      <c r="AQ71" s="535">
        <v>0</v>
      </c>
      <c r="AR71" s="535">
        <v>0</v>
      </c>
      <c r="AS71" s="535">
        <v>0</v>
      </c>
      <c r="AT71" s="535">
        <v>0</v>
      </c>
      <c r="AU71" s="535">
        <v>0</v>
      </c>
      <c r="AV71" s="535">
        <v>0</v>
      </c>
      <c r="AW71" s="535">
        <v>0</v>
      </c>
      <c r="AX71" s="535">
        <v>0</v>
      </c>
      <c r="AY71" s="535">
        <v>0</v>
      </c>
      <c r="AZ71" s="535">
        <v>0</v>
      </c>
      <c r="BA71" s="535">
        <v>0</v>
      </c>
      <c r="BB71" s="535">
        <v>0</v>
      </c>
      <c r="BC71" s="535">
        <v>0</v>
      </c>
      <c r="BD71" s="535">
        <v>0</v>
      </c>
      <c r="BE71" s="535">
        <v>0</v>
      </c>
      <c r="BF71" s="535">
        <v>0</v>
      </c>
      <c r="BG71" s="535">
        <v>0</v>
      </c>
      <c r="BH71" s="535">
        <v>0</v>
      </c>
      <c r="BI71" s="535">
        <v>0</v>
      </c>
      <c r="BJ71" s="535">
        <v>0</v>
      </c>
      <c r="BK71" s="535">
        <v>0</v>
      </c>
      <c r="BL71" s="535">
        <v>0</v>
      </c>
      <c r="BM71" s="536">
        <v>0</v>
      </c>
    </row>
    <row r="72" spans="1:65" ht="16.5" outlineLevel="1" thickBot="1" x14ac:dyDescent="0.3">
      <c r="A72" s="871"/>
      <c r="B72" s="473" t="str">
        <f t="shared" si="20"/>
        <v>Unused module</v>
      </c>
      <c r="C72" s="838"/>
      <c r="D72" s="403"/>
      <c r="E72" s="839">
        <v>0</v>
      </c>
      <c r="F72" s="840">
        <v>0</v>
      </c>
      <c r="G72" s="841">
        <v>0</v>
      </c>
      <c r="H72" s="842"/>
      <c r="I72" s="843"/>
      <c r="K72" s="429" t="str">
        <f t="shared" si="18"/>
        <v>Unused module</v>
      </c>
      <c r="L72" s="513" t="s">
        <v>40</v>
      </c>
      <c r="M72" s="539">
        <f t="shared" si="19"/>
        <v>0</v>
      </c>
      <c r="N72" s="535">
        <v>0</v>
      </c>
      <c r="O72" s="535">
        <v>0</v>
      </c>
      <c r="P72" s="535">
        <v>0</v>
      </c>
      <c r="Q72" s="535">
        <v>0</v>
      </c>
      <c r="R72" s="535">
        <v>0</v>
      </c>
      <c r="S72" s="535">
        <v>0</v>
      </c>
      <c r="T72" s="535">
        <v>0</v>
      </c>
      <c r="U72" s="535">
        <v>0</v>
      </c>
      <c r="V72" s="535">
        <v>0</v>
      </c>
      <c r="W72" s="535">
        <v>0</v>
      </c>
      <c r="X72" s="535">
        <v>0</v>
      </c>
      <c r="Y72" s="535">
        <v>0</v>
      </c>
      <c r="Z72" s="535">
        <v>0</v>
      </c>
      <c r="AA72" s="535">
        <v>0</v>
      </c>
      <c r="AB72" s="535">
        <v>0</v>
      </c>
      <c r="AC72" s="535">
        <v>0</v>
      </c>
      <c r="AD72" s="535">
        <v>0</v>
      </c>
      <c r="AE72" s="535">
        <v>0</v>
      </c>
      <c r="AF72" s="535">
        <v>0</v>
      </c>
      <c r="AG72" s="535">
        <v>0</v>
      </c>
      <c r="AH72" s="535">
        <v>0</v>
      </c>
      <c r="AI72" s="535">
        <v>0</v>
      </c>
      <c r="AJ72" s="535">
        <v>0</v>
      </c>
      <c r="AK72" s="535">
        <v>0</v>
      </c>
      <c r="AL72" s="535">
        <v>0</v>
      </c>
      <c r="AM72" s="535">
        <v>0</v>
      </c>
      <c r="AN72" s="535">
        <v>0</v>
      </c>
      <c r="AO72" s="535">
        <v>0</v>
      </c>
      <c r="AP72" s="535">
        <v>0</v>
      </c>
      <c r="AQ72" s="535">
        <v>0</v>
      </c>
      <c r="AR72" s="535">
        <v>0</v>
      </c>
      <c r="AS72" s="535">
        <v>0</v>
      </c>
      <c r="AT72" s="535">
        <v>0</v>
      </c>
      <c r="AU72" s="535">
        <v>0</v>
      </c>
      <c r="AV72" s="535">
        <v>0</v>
      </c>
      <c r="AW72" s="535">
        <v>0</v>
      </c>
      <c r="AX72" s="535">
        <v>0</v>
      </c>
      <c r="AY72" s="535">
        <v>0</v>
      </c>
      <c r="AZ72" s="535">
        <v>0</v>
      </c>
      <c r="BA72" s="535">
        <v>0</v>
      </c>
      <c r="BB72" s="535">
        <v>0</v>
      </c>
      <c r="BC72" s="535">
        <v>0</v>
      </c>
      <c r="BD72" s="535">
        <v>0</v>
      </c>
      <c r="BE72" s="535">
        <v>0</v>
      </c>
      <c r="BF72" s="535">
        <v>0</v>
      </c>
      <c r="BG72" s="535">
        <v>0</v>
      </c>
      <c r="BH72" s="535">
        <v>0</v>
      </c>
      <c r="BI72" s="535">
        <v>0</v>
      </c>
      <c r="BJ72" s="535">
        <v>0</v>
      </c>
      <c r="BK72" s="535">
        <v>0</v>
      </c>
      <c r="BL72" s="535">
        <v>0</v>
      </c>
      <c r="BM72" s="536">
        <v>0</v>
      </c>
    </row>
    <row r="73" spans="1:65" ht="16.5" outlineLevel="1" thickBot="1" x14ac:dyDescent="0.3">
      <c r="A73" s="872"/>
      <c r="B73" s="473" t="str">
        <f t="shared" si="20"/>
        <v>Unused module</v>
      </c>
      <c r="C73" s="468">
        <f>C27</f>
        <v>0</v>
      </c>
      <c r="D73" s="416"/>
      <c r="E73" s="420">
        <v>0</v>
      </c>
      <c r="F73" s="421">
        <v>0</v>
      </c>
      <c r="G73" s="495">
        <v>0</v>
      </c>
      <c r="H73" s="498">
        <f t="shared" ref="H73:I73" si="30">H50</f>
        <v>0</v>
      </c>
      <c r="I73" s="479">
        <f t="shared" si="30"/>
        <v>240</v>
      </c>
      <c r="K73" s="431" t="str">
        <f t="shared" si="18"/>
        <v>Unused module</v>
      </c>
      <c r="L73" s="514" t="s">
        <v>40</v>
      </c>
      <c r="M73" s="542">
        <f t="shared" si="19"/>
        <v>0</v>
      </c>
      <c r="N73" s="543">
        <v>0</v>
      </c>
      <c r="O73" s="543">
        <v>0</v>
      </c>
      <c r="P73" s="543">
        <v>0</v>
      </c>
      <c r="Q73" s="543">
        <v>0</v>
      </c>
      <c r="R73" s="543">
        <v>0</v>
      </c>
      <c r="S73" s="543">
        <v>0</v>
      </c>
      <c r="T73" s="543">
        <v>0</v>
      </c>
      <c r="U73" s="543">
        <v>0</v>
      </c>
      <c r="V73" s="543">
        <v>0</v>
      </c>
      <c r="W73" s="543">
        <v>0</v>
      </c>
      <c r="X73" s="543">
        <v>0</v>
      </c>
      <c r="Y73" s="543">
        <v>0</v>
      </c>
      <c r="Z73" s="543">
        <v>0</v>
      </c>
      <c r="AA73" s="543">
        <v>0</v>
      </c>
      <c r="AB73" s="543">
        <v>0</v>
      </c>
      <c r="AC73" s="543">
        <v>0</v>
      </c>
      <c r="AD73" s="543">
        <v>0</v>
      </c>
      <c r="AE73" s="543">
        <v>0</v>
      </c>
      <c r="AF73" s="543">
        <v>0</v>
      </c>
      <c r="AG73" s="543">
        <v>0</v>
      </c>
      <c r="AH73" s="543">
        <v>0</v>
      </c>
      <c r="AI73" s="543">
        <v>0</v>
      </c>
      <c r="AJ73" s="543">
        <v>0</v>
      </c>
      <c r="AK73" s="543">
        <v>0</v>
      </c>
      <c r="AL73" s="543">
        <v>0</v>
      </c>
      <c r="AM73" s="543">
        <v>0</v>
      </c>
      <c r="AN73" s="543">
        <v>0</v>
      </c>
      <c r="AO73" s="543">
        <v>0</v>
      </c>
      <c r="AP73" s="543">
        <v>0</v>
      </c>
      <c r="AQ73" s="543">
        <v>0</v>
      </c>
      <c r="AR73" s="543">
        <v>0</v>
      </c>
      <c r="AS73" s="543">
        <v>0</v>
      </c>
      <c r="AT73" s="543">
        <v>0</v>
      </c>
      <c r="AU73" s="543">
        <v>0</v>
      </c>
      <c r="AV73" s="543">
        <v>0</v>
      </c>
      <c r="AW73" s="543">
        <v>0</v>
      </c>
      <c r="AX73" s="543">
        <v>0</v>
      </c>
      <c r="AY73" s="543">
        <v>0</v>
      </c>
      <c r="AZ73" s="543">
        <v>0</v>
      </c>
      <c r="BA73" s="543">
        <v>0</v>
      </c>
      <c r="BB73" s="543">
        <v>0</v>
      </c>
      <c r="BC73" s="543">
        <v>0</v>
      </c>
      <c r="BD73" s="543">
        <v>0</v>
      </c>
      <c r="BE73" s="543">
        <v>0</v>
      </c>
      <c r="BF73" s="543">
        <v>0</v>
      </c>
      <c r="BG73" s="543">
        <v>0</v>
      </c>
      <c r="BH73" s="543">
        <v>0</v>
      </c>
      <c r="BI73" s="543">
        <v>0</v>
      </c>
      <c r="BJ73" s="543">
        <v>0</v>
      </c>
      <c r="BK73" s="543">
        <v>0</v>
      </c>
      <c r="BL73" s="543">
        <v>0</v>
      </c>
      <c r="BM73" s="544">
        <v>0</v>
      </c>
    </row>
    <row r="74" spans="1:65" ht="16.5" outlineLevel="1" thickBot="1" x14ac:dyDescent="0.3">
      <c r="B74" s="391"/>
      <c r="D74" s="71"/>
      <c r="E74" s="404"/>
      <c r="F74" s="404"/>
      <c r="G74" s="313"/>
      <c r="K74" s="412"/>
      <c r="L74" s="435"/>
      <c r="M74" s="404"/>
      <c r="N74" s="404">
        <v>0</v>
      </c>
      <c r="O74" s="404">
        <v>0</v>
      </c>
      <c r="P74" s="404">
        <v>0</v>
      </c>
      <c r="Q74" s="404">
        <v>0</v>
      </c>
      <c r="R74" s="404">
        <v>0</v>
      </c>
      <c r="S74" s="404">
        <v>0</v>
      </c>
      <c r="T74" s="404">
        <v>0</v>
      </c>
      <c r="U74" s="404">
        <v>0</v>
      </c>
      <c r="V74" s="404">
        <v>0</v>
      </c>
      <c r="W74" s="404">
        <v>0</v>
      </c>
      <c r="X74" s="404">
        <v>0</v>
      </c>
      <c r="Y74" s="404">
        <v>0</v>
      </c>
      <c r="Z74" s="404">
        <v>0</v>
      </c>
      <c r="AA74" s="404">
        <v>0</v>
      </c>
      <c r="AB74" s="404">
        <v>0</v>
      </c>
      <c r="AC74" s="404">
        <v>0</v>
      </c>
      <c r="AD74" s="404">
        <v>0</v>
      </c>
      <c r="AE74" s="404">
        <v>0</v>
      </c>
      <c r="AF74" s="404">
        <v>0</v>
      </c>
      <c r="AG74" s="404">
        <v>0</v>
      </c>
      <c r="AH74" s="404">
        <v>0</v>
      </c>
      <c r="AI74" s="404">
        <v>0</v>
      </c>
      <c r="AJ74" s="404">
        <v>0</v>
      </c>
      <c r="AK74" s="404">
        <v>0</v>
      </c>
      <c r="AL74" s="404">
        <v>0</v>
      </c>
      <c r="AM74" s="404">
        <v>0</v>
      </c>
      <c r="AN74" s="404">
        <v>0</v>
      </c>
      <c r="AO74" s="404">
        <v>0</v>
      </c>
      <c r="AP74" s="404">
        <v>0</v>
      </c>
      <c r="AQ74" s="404">
        <v>0</v>
      </c>
      <c r="AR74" s="404">
        <v>0</v>
      </c>
      <c r="AS74" s="404">
        <v>0</v>
      </c>
      <c r="AT74" s="404">
        <v>0</v>
      </c>
      <c r="AU74" s="404">
        <v>0</v>
      </c>
      <c r="AV74" s="404">
        <v>0</v>
      </c>
      <c r="AW74" s="404">
        <v>0</v>
      </c>
      <c r="AX74" s="404">
        <v>0</v>
      </c>
      <c r="AY74" s="404">
        <v>0</v>
      </c>
      <c r="AZ74" s="404">
        <v>0</v>
      </c>
      <c r="BA74" s="404">
        <v>0</v>
      </c>
      <c r="BB74" s="404">
        <v>0</v>
      </c>
      <c r="BC74" s="404">
        <v>0</v>
      </c>
      <c r="BD74" s="404">
        <v>0</v>
      </c>
      <c r="BE74" s="404">
        <v>0</v>
      </c>
      <c r="BF74" s="404">
        <v>0</v>
      </c>
      <c r="BG74" s="404">
        <v>0</v>
      </c>
      <c r="BH74" s="404">
        <v>0</v>
      </c>
      <c r="BI74" s="404">
        <v>0</v>
      </c>
      <c r="BJ74" s="404">
        <v>0</v>
      </c>
      <c r="BK74" s="404">
        <v>0</v>
      </c>
      <c r="BL74" s="404">
        <v>0</v>
      </c>
      <c r="BM74" s="404">
        <v>0</v>
      </c>
    </row>
    <row r="75" spans="1:65" ht="15.75" x14ac:dyDescent="0.25">
      <c r="C75" s="127"/>
      <c r="D75" s="127"/>
      <c r="E75" s="18"/>
      <c r="F75" s="18"/>
      <c r="G75" s="18"/>
      <c r="H75" s="127"/>
      <c r="I75" s="127"/>
      <c r="J75" s="127"/>
      <c r="K75" s="470" t="s">
        <v>148</v>
      </c>
      <c r="L75" s="188" t="s">
        <v>27</v>
      </c>
      <c r="M75" s="413">
        <f>Assumptions!$F$24</f>
        <v>0</v>
      </c>
      <c r="N75" s="413">
        <v>0</v>
      </c>
      <c r="O75" s="413">
        <v>0</v>
      </c>
      <c r="P75" s="413">
        <v>0</v>
      </c>
      <c r="Q75" s="413">
        <v>0</v>
      </c>
      <c r="R75" s="413">
        <v>10000</v>
      </c>
      <c r="S75" s="413">
        <v>0</v>
      </c>
      <c r="T75" s="413">
        <v>0</v>
      </c>
      <c r="U75" s="413">
        <v>0</v>
      </c>
      <c r="V75" s="413">
        <v>-5000</v>
      </c>
      <c r="W75" s="413">
        <v>0</v>
      </c>
      <c r="X75" s="413">
        <v>0</v>
      </c>
      <c r="Y75" s="413">
        <v>0</v>
      </c>
      <c r="Z75" s="413">
        <v>0</v>
      </c>
      <c r="AA75" s="413">
        <v>0</v>
      </c>
      <c r="AB75" s="413">
        <v>0</v>
      </c>
      <c r="AC75" s="413">
        <v>0</v>
      </c>
      <c r="AD75" s="413">
        <v>0</v>
      </c>
      <c r="AE75" s="413">
        <v>0</v>
      </c>
      <c r="AF75" s="413">
        <v>0</v>
      </c>
      <c r="AG75" s="413">
        <v>0</v>
      </c>
      <c r="AH75" s="413">
        <v>0</v>
      </c>
      <c r="AI75" s="413">
        <v>0</v>
      </c>
      <c r="AJ75" s="413">
        <v>0</v>
      </c>
      <c r="AK75" s="413">
        <v>0</v>
      </c>
      <c r="AL75" s="413">
        <v>0</v>
      </c>
      <c r="AM75" s="413">
        <v>0</v>
      </c>
      <c r="AN75" s="413">
        <v>0</v>
      </c>
      <c r="AO75" s="413">
        <v>0</v>
      </c>
      <c r="AP75" s="413">
        <v>0</v>
      </c>
      <c r="AQ75" s="413">
        <v>0</v>
      </c>
      <c r="AR75" s="413">
        <v>0</v>
      </c>
      <c r="AS75" s="413">
        <v>0</v>
      </c>
      <c r="AT75" s="413">
        <v>0</v>
      </c>
      <c r="AU75" s="413">
        <v>0</v>
      </c>
      <c r="AV75" s="413">
        <v>0</v>
      </c>
      <c r="AW75" s="413">
        <v>0</v>
      </c>
      <c r="AX75" s="413">
        <v>0</v>
      </c>
      <c r="AY75" s="413">
        <v>0</v>
      </c>
      <c r="AZ75" s="413">
        <v>0</v>
      </c>
      <c r="BA75" s="413">
        <v>0</v>
      </c>
      <c r="BB75" s="413">
        <v>0</v>
      </c>
      <c r="BC75" s="413">
        <v>0</v>
      </c>
      <c r="BD75" s="413">
        <v>0</v>
      </c>
      <c r="BE75" s="413">
        <v>0</v>
      </c>
      <c r="BF75" s="413">
        <v>0</v>
      </c>
      <c r="BG75" s="413">
        <v>0</v>
      </c>
      <c r="BH75" s="413">
        <v>0</v>
      </c>
      <c r="BI75" s="413">
        <v>0</v>
      </c>
      <c r="BJ75" s="413">
        <v>0</v>
      </c>
      <c r="BK75" s="413">
        <v>0</v>
      </c>
      <c r="BL75" s="413">
        <v>0</v>
      </c>
      <c r="BM75" s="427">
        <v>0</v>
      </c>
    </row>
    <row r="76" spans="1:65" ht="15.75" x14ac:dyDescent="0.25">
      <c r="K76" s="428" t="s">
        <v>149</v>
      </c>
      <c r="L76" s="96" t="s">
        <v>27</v>
      </c>
      <c r="M76" s="11">
        <f>SUM(M$6:M$28)+M$75</f>
        <v>-19558637.666666668</v>
      </c>
      <c r="N76" s="11">
        <f t="shared" ref="N76:AM76" si="31">SUM(N$6:N$28)+N$75</f>
        <v>502725.53840194456</v>
      </c>
      <c r="O76" s="11">
        <f t="shared" si="31"/>
        <v>2467502.9221278373</v>
      </c>
      <c r="P76" s="11">
        <f t="shared" si="31"/>
        <v>2439202.4549827352</v>
      </c>
      <c r="Q76" s="11">
        <f t="shared" si="31"/>
        <v>2411254.3925680164</v>
      </c>
      <c r="R76" s="11">
        <f t="shared" si="31"/>
        <v>2393653.89419086</v>
      </c>
      <c r="S76" s="11">
        <f t="shared" si="31"/>
        <v>2356396.1910860818</v>
      </c>
      <c r="T76" s="11">
        <f t="shared" si="31"/>
        <v>2329476.5852752882</v>
      </c>
      <c r="U76" s="11">
        <f t="shared" si="31"/>
        <v>2302890.4484451069</v>
      </c>
      <c r="V76" s="11">
        <f t="shared" si="31"/>
        <v>2271633.2208441589</v>
      </c>
      <c r="W76" s="11">
        <f t="shared" si="31"/>
        <v>2049700.4101984529</v>
      </c>
      <c r="X76" s="11">
        <f t="shared" si="31"/>
        <v>-7958807.0078961914</v>
      </c>
      <c r="Y76" s="11">
        <f t="shared" si="31"/>
        <v>2261083.9215813186</v>
      </c>
      <c r="Z76" s="11">
        <f t="shared" si="31"/>
        <v>2234933.7315552449</v>
      </c>
      <c r="AA76" s="11">
        <f t="shared" si="31"/>
        <v>2209112.7608856931</v>
      </c>
      <c r="AB76" s="11">
        <f t="shared" si="31"/>
        <v>2183616.4188881381</v>
      </c>
      <c r="AC76" s="11">
        <f t="shared" si="31"/>
        <v>2158440.184198244</v>
      </c>
      <c r="AD76" s="11">
        <f t="shared" si="31"/>
        <v>1384978.220424121</v>
      </c>
      <c r="AE76" s="11">
        <f t="shared" si="31"/>
        <v>1368495.9206813506</v>
      </c>
      <c r="AF76" s="11">
        <f t="shared" si="31"/>
        <v>1352233.637972767</v>
      </c>
      <c r="AG76" s="11">
        <f t="shared" si="31"/>
        <v>2599133.8579879031</v>
      </c>
      <c r="AH76" s="11">
        <f t="shared" si="31"/>
        <v>87934.975315471282</v>
      </c>
      <c r="AI76" s="11">
        <f t="shared" si="31"/>
        <v>37019.598541064013</v>
      </c>
      <c r="AJ76" s="11">
        <f t="shared" si="31"/>
        <v>31966.273838401219</v>
      </c>
      <c r="AK76" s="11">
        <f t="shared" si="31"/>
        <v>27008.942403492343</v>
      </c>
      <c r="AL76" s="11">
        <f t="shared" si="31"/>
        <v>22145.780742302071</v>
      </c>
      <c r="AM76" s="11">
        <f t="shared" si="31"/>
        <v>-171750</v>
      </c>
      <c r="AN76" s="11">
        <f t="shared" ref="AN76:AS76" si="32">SUM(AN$7:AN$28)+AN$75</f>
        <v>0</v>
      </c>
      <c r="AO76" s="11">
        <f t="shared" si="32"/>
        <v>0</v>
      </c>
      <c r="AP76" s="11">
        <f t="shared" si="32"/>
        <v>0</v>
      </c>
      <c r="AQ76" s="11">
        <f t="shared" si="32"/>
        <v>0</v>
      </c>
      <c r="AR76" s="11">
        <f t="shared" si="32"/>
        <v>0</v>
      </c>
      <c r="AS76" s="11">
        <f t="shared" si="32"/>
        <v>0</v>
      </c>
      <c r="AT76" s="11">
        <f t="shared" ref="AT76:BM76" si="33">SUM(AT$7:AT$28)+AT$75</f>
        <v>0</v>
      </c>
      <c r="AU76" s="11">
        <f t="shared" si="33"/>
        <v>0</v>
      </c>
      <c r="AV76" s="11">
        <f t="shared" si="33"/>
        <v>0</v>
      </c>
      <c r="AW76" s="11">
        <f t="shared" si="33"/>
        <v>0</v>
      </c>
      <c r="AX76" s="11">
        <f t="shared" si="33"/>
        <v>0</v>
      </c>
      <c r="AY76" s="11">
        <f t="shared" si="33"/>
        <v>0</v>
      </c>
      <c r="AZ76" s="11">
        <f t="shared" si="33"/>
        <v>0</v>
      </c>
      <c r="BA76" s="11">
        <f t="shared" si="33"/>
        <v>0</v>
      </c>
      <c r="BB76" s="11">
        <f t="shared" si="33"/>
        <v>0</v>
      </c>
      <c r="BC76" s="11">
        <f t="shared" si="33"/>
        <v>0</v>
      </c>
      <c r="BD76" s="11">
        <f t="shared" si="33"/>
        <v>0</v>
      </c>
      <c r="BE76" s="11">
        <f t="shared" si="33"/>
        <v>0</v>
      </c>
      <c r="BF76" s="11">
        <f t="shared" si="33"/>
        <v>0</v>
      </c>
      <c r="BG76" s="11">
        <f t="shared" si="33"/>
        <v>0</v>
      </c>
      <c r="BH76" s="11">
        <f t="shared" si="33"/>
        <v>0</v>
      </c>
      <c r="BI76" s="11">
        <f t="shared" si="33"/>
        <v>0</v>
      </c>
      <c r="BJ76" s="11">
        <f t="shared" si="33"/>
        <v>0</v>
      </c>
      <c r="BK76" s="11">
        <f t="shared" si="33"/>
        <v>0</v>
      </c>
      <c r="BL76" s="11">
        <f t="shared" si="33"/>
        <v>0</v>
      </c>
      <c r="BM76" s="415">
        <f t="shared" si="33"/>
        <v>0</v>
      </c>
    </row>
    <row r="77" spans="1:65" ht="15.75" x14ac:dyDescent="0.25">
      <c r="K77" s="428" t="s">
        <v>150</v>
      </c>
      <c r="L77" s="96" t="s">
        <v>27</v>
      </c>
      <c r="M77" s="11">
        <f t="shared" ref="M77:AR77" si="34">SUM(M$5:M$28)+M$75</f>
        <v>-16259158.499999998</v>
      </c>
      <c r="N77" s="11">
        <f t="shared" si="34"/>
        <v>703246.37173527782</v>
      </c>
      <c r="O77" s="11">
        <f t="shared" si="34"/>
        <v>2467502.9221278373</v>
      </c>
      <c r="P77" s="11">
        <f t="shared" si="34"/>
        <v>2439202.4549827352</v>
      </c>
      <c r="Q77" s="11">
        <f t="shared" si="34"/>
        <v>2411254.3925680164</v>
      </c>
      <c r="R77" s="11">
        <f t="shared" si="34"/>
        <v>2393653.89419086</v>
      </c>
      <c r="S77" s="11">
        <f t="shared" si="34"/>
        <v>2356396.1910860818</v>
      </c>
      <c r="T77" s="11">
        <f t="shared" si="34"/>
        <v>2329476.5852752882</v>
      </c>
      <c r="U77" s="11">
        <f t="shared" si="34"/>
        <v>2302890.4484451069</v>
      </c>
      <c r="V77" s="11">
        <f t="shared" si="34"/>
        <v>2271633.2208441589</v>
      </c>
      <c r="W77" s="11">
        <f t="shared" si="34"/>
        <v>2049700.4101984529</v>
      </c>
      <c r="X77" s="11">
        <f t="shared" si="34"/>
        <v>-7958807.0078961914</v>
      </c>
      <c r="Y77" s="11">
        <f t="shared" si="34"/>
        <v>2261083.9215813186</v>
      </c>
      <c r="Z77" s="11">
        <f t="shared" si="34"/>
        <v>2234933.7315552449</v>
      </c>
      <c r="AA77" s="11">
        <f t="shared" si="34"/>
        <v>2209112.7608856931</v>
      </c>
      <c r="AB77" s="11">
        <f t="shared" si="34"/>
        <v>2183616.4188881381</v>
      </c>
      <c r="AC77" s="11">
        <f t="shared" si="34"/>
        <v>2158440.184198244</v>
      </c>
      <c r="AD77" s="11">
        <f t="shared" si="34"/>
        <v>1384978.220424121</v>
      </c>
      <c r="AE77" s="11">
        <f t="shared" si="34"/>
        <v>1368495.9206813506</v>
      </c>
      <c r="AF77" s="11">
        <f t="shared" si="34"/>
        <v>1352233.637972767</v>
      </c>
      <c r="AG77" s="11">
        <f t="shared" si="34"/>
        <v>2599133.8579879031</v>
      </c>
      <c r="AH77" s="11">
        <f t="shared" si="34"/>
        <v>87934.975315471282</v>
      </c>
      <c r="AI77" s="11">
        <f t="shared" si="34"/>
        <v>37019.598541064013</v>
      </c>
      <c r="AJ77" s="11">
        <f t="shared" si="34"/>
        <v>31966.273838401219</v>
      </c>
      <c r="AK77" s="11">
        <f t="shared" si="34"/>
        <v>27008.942403492343</v>
      </c>
      <c r="AL77" s="11">
        <f t="shared" si="34"/>
        <v>22145.780742302071</v>
      </c>
      <c r="AM77" s="11">
        <f t="shared" si="34"/>
        <v>-171750</v>
      </c>
      <c r="AN77" s="11">
        <f t="shared" si="34"/>
        <v>0</v>
      </c>
      <c r="AO77" s="11">
        <f t="shared" si="34"/>
        <v>0</v>
      </c>
      <c r="AP77" s="11">
        <f t="shared" si="34"/>
        <v>0</v>
      </c>
      <c r="AQ77" s="11">
        <f t="shared" si="34"/>
        <v>0</v>
      </c>
      <c r="AR77" s="11">
        <f t="shared" si="34"/>
        <v>0</v>
      </c>
      <c r="AS77" s="11">
        <f t="shared" ref="AS77:BM77" si="35">SUM(AS$5:AS$28)+AS$75</f>
        <v>0</v>
      </c>
      <c r="AT77" s="11">
        <f t="shared" si="35"/>
        <v>0</v>
      </c>
      <c r="AU77" s="11">
        <f t="shared" si="35"/>
        <v>0</v>
      </c>
      <c r="AV77" s="11">
        <f t="shared" si="35"/>
        <v>0</v>
      </c>
      <c r="AW77" s="11">
        <f t="shared" si="35"/>
        <v>0</v>
      </c>
      <c r="AX77" s="11">
        <f t="shared" si="35"/>
        <v>0</v>
      </c>
      <c r="AY77" s="11">
        <f t="shared" si="35"/>
        <v>0</v>
      </c>
      <c r="AZ77" s="11">
        <f t="shared" si="35"/>
        <v>0</v>
      </c>
      <c r="BA77" s="11">
        <f t="shared" si="35"/>
        <v>0</v>
      </c>
      <c r="BB77" s="11">
        <f t="shared" si="35"/>
        <v>0</v>
      </c>
      <c r="BC77" s="11">
        <f t="shared" si="35"/>
        <v>0</v>
      </c>
      <c r="BD77" s="11">
        <f t="shared" si="35"/>
        <v>0</v>
      </c>
      <c r="BE77" s="11">
        <f t="shared" si="35"/>
        <v>0</v>
      </c>
      <c r="BF77" s="11">
        <f t="shared" si="35"/>
        <v>0</v>
      </c>
      <c r="BG77" s="11">
        <f t="shared" si="35"/>
        <v>0</v>
      </c>
      <c r="BH77" s="11">
        <f t="shared" si="35"/>
        <v>0</v>
      </c>
      <c r="BI77" s="11">
        <f t="shared" si="35"/>
        <v>0</v>
      </c>
      <c r="BJ77" s="11">
        <f t="shared" si="35"/>
        <v>0</v>
      </c>
      <c r="BK77" s="11">
        <f t="shared" si="35"/>
        <v>0</v>
      </c>
      <c r="BL77" s="11">
        <f t="shared" si="35"/>
        <v>0</v>
      </c>
      <c r="BM77" s="415">
        <f t="shared" si="35"/>
        <v>0</v>
      </c>
    </row>
    <row r="78" spans="1:65" ht="15.75" x14ac:dyDescent="0.25">
      <c r="K78" s="428" t="s">
        <v>151</v>
      </c>
      <c r="L78" s="96" t="s">
        <v>27</v>
      </c>
      <c r="M78" s="11">
        <f>$M$76</f>
        <v>-19558637.666666668</v>
      </c>
      <c r="N78" s="11">
        <f>$M$78+$N$76</f>
        <v>-19055912.128264725</v>
      </c>
      <c r="O78" s="11">
        <f>$N$78+$O$76</f>
        <v>-16588409.206136888</v>
      </c>
      <c r="P78" s="11">
        <f>$O$78+$P$76</f>
        <v>-14149206.751154153</v>
      </c>
      <c r="Q78" s="11">
        <f>$P$78+$Q$76</f>
        <v>-11737952.358586136</v>
      </c>
      <c r="R78" s="11">
        <f>$Q$78+$R$76</f>
        <v>-9344298.4643952772</v>
      </c>
      <c r="S78" s="11">
        <f>$R$78+$S$76</f>
        <v>-6987902.2733091954</v>
      </c>
      <c r="T78" s="11">
        <f>$S$78+$T$76</f>
        <v>-4658425.6880339067</v>
      </c>
      <c r="U78" s="11">
        <f>$T$78+$U$76</f>
        <v>-2355535.2395887999</v>
      </c>
      <c r="V78" s="11">
        <f>$U$78+$V$76</f>
        <v>-83902.018744640984</v>
      </c>
      <c r="W78" s="11">
        <f>$V$78+$W$76</f>
        <v>1965798.3914538119</v>
      </c>
      <c r="X78" s="11">
        <f>$W$78+$X$76</f>
        <v>-5993008.6164423795</v>
      </c>
      <c r="Y78" s="11">
        <f>$X$78+$Y$76</f>
        <v>-3731924.6948610609</v>
      </c>
      <c r="Z78" s="11">
        <f>$Y$78+$Z$76</f>
        <v>-1496990.9633058161</v>
      </c>
      <c r="AA78" s="11">
        <f>$Z$78+$AA$76</f>
        <v>712121.79757987708</v>
      </c>
      <c r="AB78" s="11">
        <f>$AA$78+$AB$76</f>
        <v>2895738.2164680152</v>
      </c>
      <c r="AC78" s="11">
        <f>$AB$78+$AC$76</f>
        <v>5054178.4006662592</v>
      </c>
      <c r="AD78" s="11">
        <f>$AC$78+$AD$76</f>
        <v>6439156.6210903805</v>
      </c>
      <c r="AE78" s="11">
        <f>$AD$78+$AE$76</f>
        <v>7807652.5417717313</v>
      </c>
      <c r="AF78" s="11">
        <f>$AE$78+$AF$76</f>
        <v>9159886.1797444988</v>
      </c>
      <c r="AG78" s="11">
        <f>$AF$78+$AG$76</f>
        <v>11759020.037732402</v>
      </c>
      <c r="AH78" s="11">
        <f>$AG$78+$AH$76</f>
        <v>11846955.013047874</v>
      </c>
      <c r="AI78" s="11">
        <f>$AH$78+$AI$76</f>
        <v>11883974.611588938</v>
      </c>
      <c r="AJ78" s="11">
        <f>$AI$78+$AJ$76</f>
        <v>11915940.885427339</v>
      </c>
      <c r="AK78" s="11">
        <f>$AJ$78+$AK$76</f>
        <v>11942949.827830831</v>
      </c>
      <c r="AL78" s="11">
        <f>$AK$78+$AL$76</f>
        <v>11965095.608573133</v>
      </c>
      <c r="AM78" s="11">
        <f>$AL$78+$AM$76</f>
        <v>11793345.608573133</v>
      </c>
      <c r="AN78" s="11">
        <f>$AM$78+$AN$76</f>
        <v>11793345.608573133</v>
      </c>
      <c r="AO78" s="11">
        <f>$AN$78+$AO$76</f>
        <v>11793345.608573133</v>
      </c>
      <c r="AP78" s="11">
        <f>$AO$78+$AP$76</f>
        <v>11793345.608573133</v>
      </c>
      <c r="AQ78" s="11">
        <f>$AP$78+$AQ$76</f>
        <v>11793345.608573133</v>
      </c>
      <c r="AR78" s="11">
        <f>$AQ$78+$AR$76</f>
        <v>11793345.608573133</v>
      </c>
      <c r="AS78" s="11">
        <f>$AR$78+$AS$76</f>
        <v>11793345.608573133</v>
      </c>
      <c r="AT78" s="11">
        <f>$AS$78+$AT$76</f>
        <v>11793345.608573133</v>
      </c>
      <c r="AU78" s="11">
        <f>$AT$78+$AU$76</f>
        <v>11793345.608573133</v>
      </c>
      <c r="AV78" s="11">
        <f>$AU$78+$AV$76</f>
        <v>11793345.608573133</v>
      </c>
      <c r="AW78" s="11">
        <f>$AV$78+$AW$76</f>
        <v>11793345.608573133</v>
      </c>
      <c r="AX78" s="11">
        <f>$AW$78+$AX$76</f>
        <v>11793345.608573133</v>
      </c>
      <c r="AY78" s="11">
        <f>$AX$78+$AY$76</f>
        <v>11793345.608573133</v>
      </c>
      <c r="AZ78" s="11">
        <f>$AY$78+$AZ$76</f>
        <v>11793345.608573133</v>
      </c>
      <c r="BA78" s="11">
        <f>$AZ$78+$BA$76</f>
        <v>11793345.608573133</v>
      </c>
      <c r="BB78" s="11">
        <f>$BA$78+$BB$76</f>
        <v>11793345.608573133</v>
      </c>
      <c r="BC78" s="11">
        <f>$BB$78+$BC$76</f>
        <v>11793345.608573133</v>
      </c>
      <c r="BD78" s="11">
        <f>$BC$78+$BD$76</f>
        <v>11793345.608573133</v>
      </c>
      <c r="BE78" s="11">
        <f>$BD$78+$BE$76</f>
        <v>11793345.608573133</v>
      </c>
      <c r="BF78" s="11">
        <f>$BE$78+$BF$76</f>
        <v>11793345.608573133</v>
      </c>
      <c r="BG78" s="11">
        <f>$BF$78+$BG$76</f>
        <v>11793345.608573133</v>
      </c>
      <c r="BH78" s="11">
        <f>$BG$78+$BH$76</f>
        <v>11793345.608573133</v>
      </c>
      <c r="BI78" s="11">
        <f>$BH$78+$BI$76</f>
        <v>11793345.608573133</v>
      </c>
      <c r="BJ78" s="11">
        <f>$BI$78+$BJ$76</f>
        <v>11793345.608573133</v>
      </c>
      <c r="BK78" s="11">
        <f>$BJ$78+$BK$76</f>
        <v>11793345.608573133</v>
      </c>
      <c r="BL78" s="11">
        <f>$BK$78+$BL$76</f>
        <v>11793345.608573133</v>
      </c>
      <c r="BM78" s="415">
        <f>$BL$78+$BM$76</f>
        <v>11793345.608573133</v>
      </c>
    </row>
    <row r="79" spans="1:65" ht="16.5" thickBot="1" x14ac:dyDescent="0.3">
      <c r="K79" s="471" t="s">
        <v>152</v>
      </c>
      <c r="L79" s="433" t="s">
        <v>27</v>
      </c>
      <c r="M79" s="416">
        <f>$M$77</f>
        <v>-16259158.499999998</v>
      </c>
      <c r="N79" s="416">
        <f>$M$79+$N$77</f>
        <v>-15555912.12826472</v>
      </c>
      <c r="O79" s="416">
        <f>$N$79+$O$77</f>
        <v>-13088409.206136882</v>
      </c>
      <c r="P79" s="416">
        <f>$O$79+$P$77</f>
        <v>-10649206.751154147</v>
      </c>
      <c r="Q79" s="416">
        <f>$P$79+$Q$77</f>
        <v>-8237952.3585861307</v>
      </c>
      <c r="R79" s="416">
        <f>$Q$79+$R$77</f>
        <v>-5844298.4643952707</v>
      </c>
      <c r="S79" s="416">
        <f>$R$79+$S$77</f>
        <v>-3487902.2733091889</v>
      </c>
      <c r="T79" s="416">
        <f>$S$79+$T$77</f>
        <v>-1158425.6880339007</v>
      </c>
      <c r="U79" s="416">
        <f>$T$79+$U$77</f>
        <v>1144464.7604112062</v>
      </c>
      <c r="V79" s="416">
        <f>$U$79+$V$77</f>
        <v>3416097.9812553651</v>
      </c>
      <c r="W79" s="416">
        <f>$V$79+$W$77</f>
        <v>5465798.3914538175</v>
      </c>
      <c r="X79" s="416">
        <f>$W$79+$X$77</f>
        <v>-2493008.616442374</v>
      </c>
      <c r="Y79" s="416">
        <f>$X$79+$Y$77</f>
        <v>-231924.69486105535</v>
      </c>
      <c r="Z79" s="416">
        <f>$Y$79+$Z$77</f>
        <v>2003009.0366941895</v>
      </c>
      <c r="AA79" s="416">
        <f>$Z$79+$AA$77</f>
        <v>4212121.7975798827</v>
      </c>
      <c r="AB79" s="416">
        <f>$AA$79+$AB$77</f>
        <v>6395738.2164680213</v>
      </c>
      <c r="AC79" s="416">
        <f>$AB$79+$AC$77</f>
        <v>8554178.4006662648</v>
      </c>
      <c r="AD79" s="416">
        <f>$AC$79+$AD$77</f>
        <v>9939156.6210903861</v>
      </c>
      <c r="AE79" s="416">
        <f>$AD$79+$AE$77</f>
        <v>11307652.541771736</v>
      </c>
      <c r="AF79" s="416">
        <f>$AE$79+$AF$77</f>
        <v>12659886.179744503</v>
      </c>
      <c r="AG79" s="416">
        <f>$AF$79+$AG$77</f>
        <v>15259020.037732406</v>
      </c>
      <c r="AH79" s="416">
        <f>$AG$79+$AH$77</f>
        <v>15346955.013047878</v>
      </c>
      <c r="AI79" s="416">
        <f>$AH$79+$AI$77</f>
        <v>15383974.611588942</v>
      </c>
      <c r="AJ79" s="416">
        <f>$AI$79+$AJ$77</f>
        <v>15415940.885427343</v>
      </c>
      <c r="AK79" s="416">
        <f>$AJ$79+$AK$77</f>
        <v>15442949.827830834</v>
      </c>
      <c r="AL79" s="416">
        <f>$AK$79+$AL$77</f>
        <v>15465095.608573137</v>
      </c>
      <c r="AM79" s="416">
        <f>$AL$79+$AM$77</f>
        <v>15293345.608573137</v>
      </c>
      <c r="AN79" s="416">
        <f>$AM$79+$AN$77</f>
        <v>15293345.608573137</v>
      </c>
      <c r="AO79" s="416">
        <f>$AN$79+$AO$77</f>
        <v>15293345.608573137</v>
      </c>
      <c r="AP79" s="416">
        <f>$AO$79+$AP$77</f>
        <v>15293345.608573137</v>
      </c>
      <c r="AQ79" s="416">
        <f>$AP$79+$AQ$77</f>
        <v>15293345.608573137</v>
      </c>
      <c r="AR79" s="416">
        <f>$AQ$79+$AR$77</f>
        <v>15293345.608573137</v>
      </c>
      <c r="AS79" s="416">
        <f>$AR$79+$AS$77</f>
        <v>15293345.608573137</v>
      </c>
      <c r="AT79" s="416">
        <f>$AS$79+$AT$77</f>
        <v>15293345.608573137</v>
      </c>
      <c r="AU79" s="416">
        <f>$AT$79+$AU$77</f>
        <v>15293345.608573137</v>
      </c>
      <c r="AV79" s="416">
        <f>$AU$79+$AV$77</f>
        <v>15293345.608573137</v>
      </c>
      <c r="AW79" s="416">
        <f>$AV$79+$AW$77</f>
        <v>15293345.608573137</v>
      </c>
      <c r="AX79" s="416">
        <f>$AW$79+$AX$77</f>
        <v>15293345.608573137</v>
      </c>
      <c r="AY79" s="416">
        <f>$AX$79+$AY$77</f>
        <v>15293345.608573137</v>
      </c>
      <c r="AZ79" s="416">
        <f>$AY$79+$AZ$77</f>
        <v>15293345.608573137</v>
      </c>
      <c r="BA79" s="416">
        <f>$AZ$79+$BA$77</f>
        <v>15293345.608573137</v>
      </c>
      <c r="BB79" s="416">
        <f>$BA$79+$BB$77</f>
        <v>15293345.608573137</v>
      </c>
      <c r="BC79" s="416">
        <f>$BB$79+$BC$77</f>
        <v>15293345.608573137</v>
      </c>
      <c r="BD79" s="416">
        <f>$BC$79+$BD$77</f>
        <v>15293345.608573137</v>
      </c>
      <c r="BE79" s="416">
        <f>$BD$79+$BE$77</f>
        <v>15293345.608573137</v>
      </c>
      <c r="BF79" s="416">
        <f>$BE$79+$BF$77</f>
        <v>15293345.608573137</v>
      </c>
      <c r="BG79" s="416">
        <f>$BF$79+$BG$77</f>
        <v>15293345.608573137</v>
      </c>
      <c r="BH79" s="416">
        <f>$BG$79+$BH$77</f>
        <v>15293345.608573137</v>
      </c>
      <c r="BI79" s="416">
        <f>$BH$79+$BI$77</f>
        <v>15293345.608573137</v>
      </c>
      <c r="BJ79" s="416">
        <f>$BI$79+$BJ$77</f>
        <v>15293345.608573137</v>
      </c>
      <c r="BK79" s="416">
        <f>$BJ$79+$BK$77</f>
        <v>15293345.608573137</v>
      </c>
      <c r="BL79" s="416">
        <f>$BK$79+$BL$77</f>
        <v>15293345.608573137</v>
      </c>
      <c r="BM79" s="417">
        <f>$BL$79+$BM$77</f>
        <v>15293345.608573137</v>
      </c>
    </row>
    <row r="80" spans="1:65" ht="15.75" thickBot="1" x14ac:dyDescent="0.3"/>
    <row r="81" spans="11:65" ht="16.5" thickBot="1" x14ac:dyDescent="0.3">
      <c r="K81" s="516" t="s">
        <v>153</v>
      </c>
      <c r="L81" s="517" t="s">
        <v>55</v>
      </c>
      <c r="M81" s="518">
        <f>SUM(M29:M51)</f>
        <v>2151.5655000000002</v>
      </c>
      <c r="N81" s="524">
        <f t="shared" ref="N81:BM81" si="36">SUM(N29:N51)</f>
        <v>10718.258505290009</v>
      </c>
      <c r="O81" s="525">
        <f t="shared" si="36"/>
        <v>12133.018185122062</v>
      </c>
      <c r="P81" s="525">
        <f t="shared" si="36"/>
        <v>12043.632104540229</v>
      </c>
      <c r="Q81" s="525">
        <f t="shared" si="36"/>
        <v>11955.204525558334</v>
      </c>
      <c r="R81" s="525">
        <f t="shared" si="36"/>
        <v>11867.722093117745</v>
      </c>
      <c r="S81" s="525">
        <f t="shared" si="36"/>
        <v>11781.171673028577</v>
      </c>
      <c r="T81" s="525">
        <f t="shared" si="36"/>
        <v>11695.540348001618</v>
      </c>
      <c r="U81" s="525">
        <f t="shared" si="36"/>
        <v>11610.815413754044</v>
      </c>
      <c r="V81" s="525">
        <f t="shared" si="36"/>
        <v>11526.984375187491</v>
      </c>
      <c r="W81" s="525">
        <f t="shared" si="36"/>
        <v>11444.034942637147</v>
      </c>
      <c r="X81" s="525">
        <f t="shared" si="36"/>
        <v>10460.871495339325</v>
      </c>
      <c r="Y81" s="525">
        <f t="shared" si="36"/>
        <v>11581.070989579124</v>
      </c>
      <c r="Z81" s="525">
        <f t="shared" si="36"/>
        <v>11494.989392739451</v>
      </c>
      <c r="AA81" s="525">
        <f t="shared" si="36"/>
        <v>11409.850602150216</v>
      </c>
      <c r="AB81" s="525">
        <f t="shared" si="36"/>
        <v>11325.641242704889</v>
      </c>
      <c r="AC81" s="525">
        <f t="shared" si="36"/>
        <v>11242.348162751208</v>
      </c>
      <c r="AD81" s="525">
        <f t="shared" si="36"/>
        <v>11159.958430058412</v>
      </c>
      <c r="AE81" s="525">
        <f t="shared" si="36"/>
        <v>11078.459327859608</v>
      </c>
      <c r="AF81" s="525">
        <f t="shared" si="36"/>
        <v>10997.838350967799</v>
      </c>
      <c r="AG81" s="525">
        <f t="shared" si="36"/>
        <v>9023.6982965047137</v>
      </c>
      <c r="AH81" s="525">
        <f t="shared" si="36"/>
        <v>1649.5498990458093</v>
      </c>
      <c r="AI81" s="525">
        <f t="shared" si="36"/>
        <v>1303.4960328512136</v>
      </c>
      <c r="AJ81" s="525">
        <f t="shared" si="36"/>
        <v>1278.7347418081661</v>
      </c>
      <c r="AK81" s="525">
        <f t="shared" si="36"/>
        <v>1254.4438177771124</v>
      </c>
      <c r="AL81" s="525">
        <f t="shared" si="36"/>
        <v>1230.6143256372802</v>
      </c>
      <c r="AM81" s="525">
        <f t="shared" si="36"/>
        <v>0</v>
      </c>
      <c r="AN81" s="525">
        <f t="shared" si="36"/>
        <v>0</v>
      </c>
      <c r="AO81" s="525">
        <f t="shared" si="36"/>
        <v>0</v>
      </c>
      <c r="AP81" s="525">
        <f t="shared" si="36"/>
        <v>0</v>
      </c>
      <c r="AQ81" s="525">
        <f t="shared" si="36"/>
        <v>0</v>
      </c>
      <c r="AR81" s="525">
        <f t="shared" si="36"/>
        <v>0</v>
      </c>
      <c r="AS81" s="525">
        <f t="shared" si="36"/>
        <v>0</v>
      </c>
      <c r="AT81" s="525">
        <f t="shared" si="36"/>
        <v>0</v>
      </c>
      <c r="AU81" s="525">
        <f t="shared" si="36"/>
        <v>0</v>
      </c>
      <c r="AV81" s="525">
        <f t="shared" si="36"/>
        <v>0</v>
      </c>
      <c r="AW81" s="525">
        <f t="shared" si="36"/>
        <v>0</v>
      </c>
      <c r="AX81" s="525">
        <f t="shared" si="36"/>
        <v>0</v>
      </c>
      <c r="AY81" s="525">
        <f t="shared" si="36"/>
        <v>0</v>
      </c>
      <c r="AZ81" s="525">
        <f t="shared" si="36"/>
        <v>0</v>
      </c>
      <c r="BA81" s="525">
        <f t="shared" si="36"/>
        <v>0</v>
      </c>
      <c r="BB81" s="525">
        <f t="shared" si="36"/>
        <v>0</v>
      </c>
      <c r="BC81" s="525">
        <f t="shared" si="36"/>
        <v>0</v>
      </c>
      <c r="BD81" s="525">
        <f t="shared" si="36"/>
        <v>0</v>
      </c>
      <c r="BE81" s="525">
        <f t="shared" si="36"/>
        <v>0</v>
      </c>
      <c r="BF81" s="525">
        <f t="shared" si="36"/>
        <v>0</v>
      </c>
      <c r="BG81" s="525">
        <f t="shared" si="36"/>
        <v>0</v>
      </c>
      <c r="BH81" s="525">
        <f t="shared" si="36"/>
        <v>0</v>
      </c>
      <c r="BI81" s="525">
        <f t="shared" si="36"/>
        <v>0</v>
      </c>
      <c r="BJ81" s="525">
        <f t="shared" si="36"/>
        <v>0</v>
      </c>
      <c r="BK81" s="525">
        <f t="shared" si="36"/>
        <v>0</v>
      </c>
      <c r="BL81" s="525">
        <f t="shared" si="36"/>
        <v>0</v>
      </c>
      <c r="BM81" s="518">
        <f t="shared" si="36"/>
        <v>0</v>
      </c>
    </row>
    <row r="82" spans="11:65" ht="15.75" x14ac:dyDescent="0.25">
      <c r="K82" s="519" t="str">
        <f>"Emissions saved by "&amp;TEXT(Funding!$B28,"DD MMM YYY")</f>
        <v>Emissions saved by 30 Jun 2030</v>
      </c>
      <c r="L82" s="436" t="s">
        <v>55</v>
      </c>
      <c r="M82" s="520">
        <f>SUMIF($M$2:$BM$2,"&lt;="&amp;Funding!$B$28,$M$81:$BM$81)</f>
        <v>37046.474294952299</v>
      </c>
    </row>
    <row r="83" spans="11:65" ht="15.75" x14ac:dyDescent="0.25">
      <c r="K83" s="519" t="str">
        <f>"Emissions saved by "&amp;TEXT(Funding!$B29,"DD MMM YYY")</f>
        <v>Emissions saved by 30 Jun 2050</v>
      </c>
      <c r="L83" s="437" t="s">
        <v>55</v>
      </c>
      <c r="M83" s="521">
        <f>SUMIF(M2:BM2,"&lt;="&amp;Funding!$B$29,$M$81:$BM$81)</f>
        <v>232934.4546305972</v>
      </c>
    </row>
    <row r="84" spans="11:65" ht="16.5" thickBot="1" x14ac:dyDescent="0.3">
      <c r="K84" s="471" t="s">
        <v>154</v>
      </c>
      <c r="L84" s="522" t="s">
        <v>55</v>
      </c>
      <c r="M84" s="523">
        <f>SUM($M$81:$BM$81)</f>
        <v>235419.51277401161</v>
      </c>
    </row>
    <row r="85" spans="11:65" ht="15.75" thickBot="1" x14ac:dyDescent="0.3"/>
    <row r="86" spans="11:65" ht="16.5" thickBot="1" x14ac:dyDescent="0.3">
      <c r="K86" s="516" t="s">
        <v>155</v>
      </c>
      <c r="L86" s="528" t="s">
        <v>40</v>
      </c>
      <c r="M86" s="529">
        <f>SUM(M52:M73)</f>
        <v>4390.95</v>
      </c>
      <c r="N86" s="530">
        <f t="shared" ref="N86:BM86" si="37">SUM(N52:N73)</f>
        <v>23330.520628493578</v>
      </c>
      <c r="O86" s="531">
        <f t="shared" si="37"/>
        <v>22182.777885134132</v>
      </c>
      <c r="P86" s="531">
        <f t="shared" si="37"/>
        <v>22060.411106090593</v>
      </c>
      <c r="Q86" s="531">
        <f t="shared" si="37"/>
        <v>21938.859667194236</v>
      </c>
      <c r="R86" s="531">
        <f t="shared" si="37"/>
        <v>21818.117983656364</v>
      </c>
      <c r="S86" s="531">
        <f t="shared" si="37"/>
        <v>21698.180509787933</v>
      </c>
      <c r="T86" s="531">
        <f t="shared" si="37"/>
        <v>21579.041738721251</v>
      </c>
      <c r="U86" s="531">
        <f t="shared" si="37"/>
        <v>21460.696202133662</v>
      </c>
      <c r="V86" s="531">
        <f t="shared" si="37"/>
        <v>21343.138469973233</v>
      </c>
      <c r="W86" s="531">
        <f t="shared" si="37"/>
        <v>21226.3631501864</v>
      </c>
      <c r="X86" s="531">
        <f t="shared" si="37"/>
        <v>21110.364888447599</v>
      </c>
      <c r="Y86" s="531">
        <f t="shared" si="37"/>
        <v>20995.138367890813</v>
      </c>
      <c r="Z86" s="531">
        <f t="shared" si="37"/>
        <v>20880.678308843093</v>
      </c>
      <c r="AA86" s="531">
        <f t="shared" si="37"/>
        <v>20766.979468559955</v>
      </c>
      <c r="AB86" s="531">
        <f t="shared" si="37"/>
        <v>20654.036640962717</v>
      </c>
      <c r="AC86" s="531">
        <f t="shared" si="37"/>
        <v>20541.844656377718</v>
      </c>
      <c r="AD86" s="531">
        <f t="shared" si="37"/>
        <v>20430.398381277399</v>
      </c>
      <c r="AE86" s="531">
        <f t="shared" si="37"/>
        <v>20319.692718023267</v>
      </c>
      <c r="AF86" s="531">
        <f t="shared" si="37"/>
        <v>20209.722604610706</v>
      </c>
      <c r="AG86" s="531">
        <f t="shared" si="37"/>
        <v>16234.391370620626</v>
      </c>
      <c r="AH86" s="531">
        <f t="shared" si="37"/>
        <v>-1937.0550000000001</v>
      </c>
      <c r="AI86" s="531">
        <f t="shared" si="37"/>
        <v>-3650</v>
      </c>
      <c r="AJ86" s="531">
        <f t="shared" si="37"/>
        <v>-3650</v>
      </c>
      <c r="AK86" s="531">
        <f t="shared" si="37"/>
        <v>-3650</v>
      </c>
      <c r="AL86" s="531">
        <f t="shared" si="37"/>
        <v>-3650</v>
      </c>
      <c r="AM86" s="531">
        <f t="shared" si="37"/>
        <v>-2737.5</v>
      </c>
      <c r="AN86" s="531">
        <f t="shared" si="37"/>
        <v>0</v>
      </c>
      <c r="AO86" s="531">
        <f t="shared" si="37"/>
        <v>0</v>
      </c>
      <c r="AP86" s="531">
        <f t="shared" si="37"/>
        <v>0</v>
      </c>
      <c r="AQ86" s="531">
        <f t="shared" si="37"/>
        <v>0</v>
      </c>
      <c r="AR86" s="531">
        <f t="shared" si="37"/>
        <v>0</v>
      </c>
      <c r="AS86" s="531">
        <f t="shared" si="37"/>
        <v>0</v>
      </c>
      <c r="AT86" s="531">
        <f t="shared" si="37"/>
        <v>0</v>
      </c>
      <c r="AU86" s="531">
        <f t="shared" si="37"/>
        <v>0</v>
      </c>
      <c r="AV86" s="531">
        <f t="shared" si="37"/>
        <v>0</v>
      </c>
      <c r="AW86" s="531">
        <f t="shared" si="37"/>
        <v>0</v>
      </c>
      <c r="AX86" s="531">
        <f t="shared" si="37"/>
        <v>0</v>
      </c>
      <c r="AY86" s="531">
        <f t="shared" si="37"/>
        <v>0</v>
      </c>
      <c r="AZ86" s="531">
        <f t="shared" si="37"/>
        <v>0</v>
      </c>
      <c r="BA86" s="531">
        <f t="shared" si="37"/>
        <v>0</v>
      </c>
      <c r="BB86" s="531">
        <f t="shared" si="37"/>
        <v>0</v>
      </c>
      <c r="BC86" s="531">
        <f t="shared" si="37"/>
        <v>0</v>
      </c>
      <c r="BD86" s="531">
        <f t="shared" si="37"/>
        <v>0</v>
      </c>
      <c r="BE86" s="531">
        <f t="shared" si="37"/>
        <v>0</v>
      </c>
      <c r="BF86" s="531">
        <f t="shared" si="37"/>
        <v>0</v>
      </c>
      <c r="BG86" s="531">
        <f t="shared" si="37"/>
        <v>0</v>
      </c>
      <c r="BH86" s="531">
        <f t="shared" si="37"/>
        <v>0</v>
      </c>
      <c r="BI86" s="531">
        <f t="shared" si="37"/>
        <v>0</v>
      </c>
      <c r="BJ86" s="531">
        <f t="shared" si="37"/>
        <v>0</v>
      </c>
      <c r="BK86" s="531">
        <f t="shared" si="37"/>
        <v>0</v>
      </c>
      <c r="BL86" s="531">
        <f t="shared" si="37"/>
        <v>0</v>
      </c>
      <c r="BM86" s="529">
        <f t="shared" si="37"/>
        <v>0</v>
      </c>
    </row>
    <row r="87" spans="11:65" ht="16.5" thickBot="1" x14ac:dyDescent="0.3">
      <c r="K87" s="515" t="s">
        <v>156</v>
      </c>
      <c r="L87" s="526" t="s">
        <v>40</v>
      </c>
      <c r="M87" s="527">
        <f>SUM(M86:BM86)</f>
        <v>405897.74974698533</v>
      </c>
    </row>
  </sheetData>
  <mergeCells count="12">
    <mergeCell ref="H2:H6"/>
    <mergeCell ref="I2:I6"/>
    <mergeCell ref="C1:F1"/>
    <mergeCell ref="H1:I1"/>
    <mergeCell ref="A54:A73"/>
    <mergeCell ref="A5:A27"/>
    <mergeCell ref="C2:C6"/>
    <mergeCell ref="D2:D6"/>
    <mergeCell ref="E2:E6"/>
    <mergeCell ref="F2:F6"/>
    <mergeCell ref="G2:G6"/>
    <mergeCell ref="A31:A50"/>
  </mergeCells>
  <conditionalFormatting sqref="A2 M76:BM79">
    <cfRule type="expression" dxfId="8" priority="8">
      <formula>NOT(_xlfn.ISFORMULA(A2))</formula>
    </cfRule>
  </conditionalFormatting>
  <conditionalFormatting sqref="M1:M73 M75:M79 M81:M84 M86:M87">
    <cfRule type="expression" dxfId="6" priority="5">
      <formula>NOT(_xlfn.ISFORMULA(M1))</formula>
    </cfRule>
  </conditionalFormatting>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C0647888-17DB-4537-A0B9-5D771EA59A20}">
            <xm:f>NOT(_xlfn.ISFORMULA(Assumptions!$F$5))</xm:f>
            <x14:dxf>
              <fill>
                <patternFill>
                  <bgColor rgb="FFFFFF00"/>
                </patternFill>
              </fill>
            </x14:dxf>
          </x14:cfRule>
          <xm:sqref>M1:M4 M28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93323-8AFC-4F19-A660-216B1CCDB279}">
  <sheetPr codeName="Sheet5"/>
  <dimension ref="A1:H29"/>
  <sheetViews>
    <sheetView zoomScaleNormal="100" workbookViewId="0">
      <pane ySplit="2" topLeftCell="A3" activePane="bottomLeft" state="frozen"/>
      <selection pane="bottomLeft" activeCell="F18" sqref="F18"/>
    </sheetView>
  </sheetViews>
  <sheetFormatPr defaultRowHeight="15" x14ac:dyDescent="0.25"/>
  <cols>
    <col min="1" max="1" width="43.28515625" customWidth="1"/>
    <col min="2" max="2" width="13.42578125" customWidth="1"/>
    <col min="3" max="3" width="12" customWidth="1"/>
    <col min="4" max="4" width="14.5703125" customWidth="1"/>
    <col min="5" max="5" width="13" customWidth="1"/>
    <col min="6" max="6" width="80.5703125" customWidth="1"/>
    <col min="8" max="8" width="13.85546875" bestFit="1" customWidth="1"/>
  </cols>
  <sheetData>
    <row r="1" spans="1:8" ht="24" thickBot="1" x14ac:dyDescent="0.4">
      <c r="A1" s="269" t="s">
        <v>482</v>
      </c>
    </row>
    <row r="2" spans="1:8" ht="48" thickBot="1" x14ac:dyDescent="0.3">
      <c r="A2" s="712" t="s">
        <v>157</v>
      </c>
      <c r="B2" s="713" t="s">
        <v>158</v>
      </c>
      <c r="C2" s="714" t="s">
        <v>159</v>
      </c>
      <c r="D2" s="714" t="s">
        <v>160</v>
      </c>
      <c r="E2" s="715" t="s">
        <v>161</v>
      </c>
      <c r="F2" s="716" t="s">
        <v>162</v>
      </c>
    </row>
    <row r="3" spans="1:8" ht="14.65" customHeight="1" x14ac:dyDescent="0.25">
      <c r="A3" s="24" t="s">
        <v>163</v>
      </c>
      <c r="B3" s="201">
        <f>'Project Model'!$Y$36</f>
        <v>31259500</v>
      </c>
      <c r="C3" s="202"/>
      <c r="D3" s="203"/>
      <c r="E3" s="293"/>
      <c r="F3" s="204"/>
    </row>
    <row r="4" spans="1:8" x14ac:dyDescent="0.25">
      <c r="A4" s="95" t="s">
        <v>164</v>
      </c>
      <c r="B4" s="30">
        <f>'Project Model'!Y32</f>
        <v>19200000</v>
      </c>
      <c r="C4" s="8"/>
      <c r="D4" s="9"/>
      <c r="E4" s="294"/>
      <c r="F4" s="82"/>
    </row>
    <row r="5" spans="1:8" ht="15" customHeight="1" x14ac:dyDescent="0.25">
      <c r="A5" s="95" t="s">
        <v>165</v>
      </c>
      <c r="B5" s="30">
        <f>MIN(B4*B26,B25)-B8</f>
        <v>3500000</v>
      </c>
      <c r="C5" s="8"/>
      <c r="D5" s="8"/>
      <c r="E5" s="295"/>
      <c r="F5" s="2"/>
    </row>
    <row r="6" spans="1:8" ht="15" customHeight="1" x14ac:dyDescent="0.25">
      <c r="A6" s="95" t="s">
        <v>166</v>
      </c>
      <c r="B6" s="350">
        <f>Assumptions!F11</f>
        <v>2.5000000000000001E-2</v>
      </c>
      <c r="C6" s="8"/>
      <c r="D6" s="8"/>
      <c r="E6" s="295"/>
      <c r="F6" s="2"/>
    </row>
    <row r="7" spans="1:8" x14ac:dyDescent="0.25">
      <c r="A7" s="95" t="s">
        <v>167</v>
      </c>
      <c r="B7" s="192">
        <f>Assumptions!F7</f>
        <v>3500000</v>
      </c>
      <c r="C7" s="10">
        <f t="shared" ref="C7:C18" si="0">B7/$B$3</f>
        <v>0.11196596234744638</v>
      </c>
      <c r="D7" s="9">
        <v>0</v>
      </c>
      <c r="E7" s="9">
        <v>0</v>
      </c>
      <c r="F7" s="7" t="s">
        <v>168</v>
      </c>
    </row>
    <row r="8" spans="1:8" x14ac:dyDescent="0.25">
      <c r="A8" s="95" t="s">
        <v>169</v>
      </c>
      <c r="B8" s="4">
        <v>500000</v>
      </c>
      <c r="C8" s="10">
        <f t="shared" si="0"/>
        <v>1.5995137478206627E-2</v>
      </c>
      <c r="D8" s="9">
        <v>0</v>
      </c>
      <c r="E8" s="9">
        <v>0</v>
      </c>
      <c r="F8" s="7" t="s">
        <v>170</v>
      </c>
    </row>
    <row r="9" spans="1:8" x14ac:dyDescent="0.25">
      <c r="A9" s="95" t="s">
        <v>171</v>
      </c>
      <c r="B9" s="4">
        <v>2000000</v>
      </c>
      <c r="C9" s="10">
        <f t="shared" si="0"/>
        <v>6.3980549912826506E-2</v>
      </c>
      <c r="D9" s="9">
        <v>0</v>
      </c>
      <c r="E9" s="9">
        <v>0</v>
      </c>
      <c r="F9" s="7" t="s">
        <v>172</v>
      </c>
    </row>
    <row r="10" spans="1:8" x14ac:dyDescent="0.25">
      <c r="A10" s="95" t="s">
        <v>456</v>
      </c>
      <c r="B10" s="4">
        <f>'In-kind'!F43</f>
        <v>0</v>
      </c>
      <c r="C10" s="10">
        <f>B10/$B$3</f>
        <v>0</v>
      </c>
      <c r="D10" s="14">
        <v>0</v>
      </c>
      <c r="E10" s="9">
        <v>0</v>
      </c>
      <c r="F10" s="7" t="s">
        <v>457</v>
      </c>
    </row>
    <row r="11" spans="1:8" x14ac:dyDescent="0.25">
      <c r="A11" s="95" t="s">
        <v>173</v>
      </c>
      <c r="B11" s="4">
        <v>2000000</v>
      </c>
      <c r="C11" s="10">
        <f t="shared" si="0"/>
        <v>6.3980549912826506E-2</v>
      </c>
      <c r="D11" s="15">
        <v>0.12</v>
      </c>
      <c r="E11" s="294">
        <f>D11+$B$6</f>
        <v>0.14499999999999999</v>
      </c>
      <c r="F11" s="7" t="s">
        <v>174</v>
      </c>
    </row>
    <row r="12" spans="1:8" x14ac:dyDescent="0.25">
      <c r="A12" s="95" t="s">
        <v>175</v>
      </c>
      <c r="B12" s="4">
        <v>3000000</v>
      </c>
      <c r="C12" s="10">
        <f t="shared" si="0"/>
        <v>9.5970824869239746E-2</v>
      </c>
      <c r="D12" s="15">
        <v>0.12</v>
      </c>
      <c r="E12" s="294">
        <f t="shared" ref="E12:E16" si="1">D12+$B$6</f>
        <v>0.14499999999999999</v>
      </c>
      <c r="F12" s="7"/>
    </row>
    <row r="13" spans="1:8" x14ac:dyDescent="0.25">
      <c r="A13" s="95" t="s">
        <v>176</v>
      </c>
      <c r="B13" s="4">
        <v>14284600</v>
      </c>
      <c r="C13" s="10">
        <f t="shared" si="0"/>
        <v>0.45696828164238074</v>
      </c>
      <c r="D13" s="15">
        <v>0.09</v>
      </c>
      <c r="E13" s="294">
        <f t="shared" si="1"/>
        <v>0.11499999999999999</v>
      </c>
      <c r="F13" s="7" t="s">
        <v>177</v>
      </c>
      <c r="H13" s="90"/>
    </row>
    <row r="14" spans="1:8" x14ac:dyDescent="0.25">
      <c r="A14" s="131" t="s">
        <v>178</v>
      </c>
      <c r="B14" s="4"/>
      <c r="C14" s="10">
        <f t="shared" si="0"/>
        <v>0</v>
      </c>
      <c r="D14" s="15"/>
      <c r="E14" s="294"/>
      <c r="F14" s="7"/>
    </row>
    <row r="15" spans="1:8" x14ac:dyDescent="0.25">
      <c r="A15" s="95" t="s">
        <v>181</v>
      </c>
      <c r="B15" s="4">
        <v>6000000</v>
      </c>
      <c r="C15" s="10"/>
      <c r="D15" s="15">
        <v>0.09</v>
      </c>
      <c r="E15" s="294">
        <f>D15+$B$6</f>
        <v>0.11499999999999999</v>
      </c>
      <c r="F15" s="7" t="s">
        <v>182</v>
      </c>
    </row>
    <row r="16" spans="1:8" x14ac:dyDescent="0.25">
      <c r="A16" s="95" t="s">
        <v>179</v>
      </c>
      <c r="B16" s="30">
        <f>B3-SUM(B7:B14)</f>
        <v>5974900</v>
      </c>
      <c r="C16" s="10">
        <f t="shared" si="0"/>
        <v>0.19113869383707352</v>
      </c>
      <c r="D16" s="180">
        <f>D15</f>
        <v>0.09</v>
      </c>
      <c r="E16" s="294">
        <f t="shared" si="1"/>
        <v>0.11499999999999999</v>
      </c>
      <c r="F16" s="7" t="s">
        <v>180</v>
      </c>
    </row>
    <row r="17" spans="1:6" ht="15.75" thickBot="1" x14ac:dyDescent="0.3">
      <c r="A17" s="70" t="s">
        <v>183</v>
      </c>
      <c r="B17" s="300" t="b">
        <f>B16&lt;=B15</f>
        <v>1</v>
      </c>
      <c r="D17" s="205"/>
      <c r="E17" s="296"/>
      <c r="F17" s="32" t="s">
        <v>184</v>
      </c>
    </row>
    <row r="18" spans="1:6" x14ac:dyDescent="0.25">
      <c r="A18" s="95" t="s">
        <v>185</v>
      </c>
      <c r="B18" s="30">
        <f>SUM(B7:B9)</f>
        <v>6000000</v>
      </c>
      <c r="C18" s="10">
        <f t="shared" si="0"/>
        <v>0.19194164973847949</v>
      </c>
      <c r="D18" s="297"/>
      <c r="E18" s="298"/>
      <c r="F18" s="301"/>
    </row>
    <row r="19" spans="1:6" x14ac:dyDescent="0.25">
      <c r="A19" s="181" t="s">
        <v>186</v>
      </c>
      <c r="B19" s="30">
        <f>B7+B8</f>
        <v>4000000</v>
      </c>
      <c r="C19" s="297">
        <f>B19/B4</f>
        <v>0.20833333333333334</v>
      </c>
      <c r="D19" s="299"/>
      <c r="E19" s="298"/>
      <c r="F19" s="302"/>
    </row>
    <row r="20" spans="1:6" x14ac:dyDescent="0.25">
      <c r="A20" s="95" t="s">
        <v>459</v>
      </c>
      <c r="B20" s="30"/>
      <c r="C20" s="10"/>
      <c r="D20" s="10">
        <f>SUMPRODUCT(C7:C16,D7:D16)/SUM(C7:C16)</f>
        <v>7.7523792766998834E-2</v>
      </c>
      <c r="E20" s="294">
        <f t="shared" ref="E20:E21" si="2">D20+$B$6</f>
        <v>0.10252379276699883</v>
      </c>
      <c r="F20" s="82" t="s">
        <v>187</v>
      </c>
    </row>
    <row r="21" spans="1:6" x14ac:dyDescent="0.25">
      <c r="A21" s="95" t="s">
        <v>458</v>
      </c>
      <c r="B21" s="30"/>
      <c r="C21" s="10"/>
      <c r="D21" s="10">
        <f>SUMPRODUCT(C8:C16,D8:D16)/SUM(C8:C16)</f>
        <v>8.7298222230227485E-2</v>
      </c>
      <c r="E21" s="294">
        <f t="shared" si="2"/>
        <v>0.11229822223022748</v>
      </c>
      <c r="F21" s="82"/>
    </row>
    <row r="22" spans="1:6" x14ac:dyDescent="0.25">
      <c r="B22" s="632"/>
      <c r="C22" s="91"/>
    </row>
    <row r="23" spans="1:6" ht="24" thickBot="1" x14ac:dyDescent="0.4">
      <c r="A23" s="269" t="s">
        <v>492</v>
      </c>
    </row>
    <row r="24" spans="1:6" x14ac:dyDescent="0.25">
      <c r="A24" s="465" t="s">
        <v>188</v>
      </c>
      <c r="B24" s="665">
        <v>100000</v>
      </c>
      <c r="E24" s="717" t="s">
        <v>189</v>
      </c>
      <c r="F24" s="95"/>
    </row>
    <row r="25" spans="1:6" ht="14.25" customHeight="1" x14ac:dyDescent="0.25">
      <c r="A25" s="466" t="s">
        <v>190</v>
      </c>
      <c r="B25" s="666">
        <v>4000000</v>
      </c>
      <c r="E25" s="882" t="s">
        <v>460</v>
      </c>
      <c r="F25" s="883"/>
    </row>
    <row r="26" spans="1:6" x14ac:dyDescent="0.25">
      <c r="A26" s="408" t="s">
        <v>191</v>
      </c>
      <c r="B26" s="667">
        <v>0.25</v>
      </c>
      <c r="E26" s="882"/>
      <c r="F26" s="883"/>
    </row>
    <row r="27" spans="1:6" x14ac:dyDescent="0.25">
      <c r="A27" s="408" t="s">
        <v>192</v>
      </c>
      <c r="B27" s="2">
        <v>5</v>
      </c>
      <c r="E27" s="882"/>
      <c r="F27" s="883"/>
    </row>
    <row r="28" spans="1:6" x14ac:dyDescent="0.25">
      <c r="A28" s="408" t="s">
        <v>193</v>
      </c>
      <c r="B28" s="467">
        <v>47664</v>
      </c>
      <c r="E28" s="882"/>
      <c r="F28" s="883"/>
    </row>
    <row r="29" spans="1:6" ht="15.75" thickBot="1" x14ac:dyDescent="0.3">
      <c r="A29" s="468" t="s">
        <v>194</v>
      </c>
      <c r="B29" s="469">
        <v>54969</v>
      </c>
      <c r="E29" s="884"/>
      <c r="F29" s="885"/>
    </row>
  </sheetData>
  <mergeCells count="1">
    <mergeCell ref="E25:F29"/>
  </mergeCells>
  <conditionalFormatting sqref="B3:B6 B7:C7 C8:C14 E11:E13 E15 B16:E16 B17 B18:C19 D20:E21">
    <cfRule type="expression" dxfId="5" priority="1">
      <formula>NOT(_xlfn.ISFORMULA(B3))</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85F2-D570-44D9-80ED-9D21B8ADD0D5}">
  <dimension ref="A1:G36"/>
  <sheetViews>
    <sheetView workbookViewId="0">
      <pane ySplit="1" topLeftCell="A2" activePane="bottomLeft" state="frozen"/>
      <selection pane="bottomLeft" activeCell="D12" sqref="D12:D13"/>
    </sheetView>
  </sheetViews>
  <sheetFormatPr defaultRowHeight="15" x14ac:dyDescent="0.25"/>
  <cols>
    <col min="1" max="1" width="5.140625" customWidth="1"/>
    <col min="2" max="2" width="51.140625" customWidth="1"/>
    <col min="4" max="4" width="11.7109375" customWidth="1"/>
    <col min="5" max="5" width="64.140625" customWidth="1"/>
  </cols>
  <sheetData>
    <row r="1" spans="1:5" ht="21.4" customHeight="1" thickBot="1" x14ac:dyDescent="0.4">
      <c r="B1" s="727" t="s">
        <v>157</v>
      </c>
      <c r="C1" s="728" t="s">
        <v>22</v>
      </c>
      <c r="D1" s="729" t="s">
        <v>158</v>
      </c>
      <c r="E1" s="730" t="s">
        <v>195</v>
      </c>
    </row>
    <row r="2" spans="1:5" ht="21.75" thickBot="1" x14ac:dyDescent="0.4">
      <c r="A2" s="693" t="s">
        <v>483</v>
      </c>
      <c r="B2" s="726"/>
      <c r="C2" s="720"/>
      <c r="D2" s="719"/>
      <c r="E2" s="720"/>
    </row>
    <row r="3" spans="1:5" ht="14.25" customHeight="1" x14ac:dyDescent="0.25">
      <c r="A3" s="721"/>
      <c r="B3" s="465" t="str">
        <f>"Is CEFF request not less than "&amp;TEXT(Funding!$B$24,"$0,000")&amp;"?"</f>
        <v>Is CEFF request not less than $100,000?</v>
      </c>
      <c r="C3" s="202"/>
      <c r="D3" s="723" t="b">
        <f>Funding!$B$7&gt;=Funding!$B$24</f>
        <v>1</v>
      </c>
      <c r="E3" s="724"/>
    </row>
    <row r="4" spans="1:5" x14ac:dyDescent="0.25">
      <c r="A4" s="721"/>
      <c r="B4" s="408" t="str">
        <f>"Is CEFF request not greater than "&amp;TEXT(Funding!$B$25,"$0,000")&amp;"?"</f>
        <v>Is CEFF request not greater than $4,000,000?</v>
      </c>
      <c r="C4" s="8"/>
      <c r="D4" s="722" t="b">
        <f>Funding!$B$7&lt;=Funding!$B$25</f>
        <v>1</v>
      </c>
      <c r="E4" s="2"/>
    </row>
    <row r="5" spans="1:5" ht="30" x14ac:dyDescent="0.25">
      <c r="A5" s="721"/>
      <c r="B5" s="599" t="str">
        <f>"CEFF request + other WA Govt grants &lt;= "&amp;TEXT(Funding!$B$26,"0%")&amp;" of eligible costs?"</f>
        <v>CEFF request + other WA Govt grants &lt;= 25% of eligible costs?</v>
      </c>
      <c r="C5" s="8"/>
      <c r="D5" s="722" t="b">
        <f>Funding!C19&lt;=Funding!$B$26</f>
        <v>1</v>
      </c>
      <c r="E5" s="2"/>
    </row>
    <row r="6" spans="1:5" x14ac:dyDescent="0.25">
      <c r="A6" s="721"/>
      <c r="B6" s="408" t="s">
        <v>196</v>
      </c>
      <c r="C6" s="8"/>
      <c r="D6" s="722" t="b">
        <f>Funding!B17</f>
        <v>1</v>
      </c>
      <c r="E6" s="2"/>
    </row>
    <row r="7" spans="1:5" x14ac:dyDescent="0.25">
      <c r="A7" s="721"/>
      <c r="B7" s="408" t="str">
        <f>"Are all CEFF funds are spent within "&amp;TEXT(Funding!B27,"0")&amp;" years?"</f>
        <v>Are all CEFF funds are spent within 5 years?</v>
      </c>
      <c r="C7" s="8"/>
      <c r="D7" s="722" t="b">
        <f>ABS(SUM(Cashflow!$M$5:$Q$5)-Funding!$B$7)&lt;1</f>
        <v>1</v>
      </c>
      <c r="E7" s="2"/>
    </row>
    <row r="8" spans="1:5" x14ac:dyDescent="0.25">
      <c r="A8" s="721"/>
      <c r="B8" s="477" t="s">
        <v>197</v>
      </c>
      <c r="C8" s="8"/>
      <c r="D8" s="722" t="b">
        <f>Assumptions!F5&gt;=Assumptions!F6</f>
        <v>1</v>
      </c>
      <c r="E8" s="2"/>
    </row>
    <row r="9" spans="1:5" x14ac:dyDescent="0.25">
      <c r="A9" s="721"/>
      <c r="B9" s="408" t="s">
        <v>198</v>
      </c>
      <c r="C9" s="8"/>
      <c r="D9" s="722" t="b">
        <f>Outputs!D30&gt;Assumptions!F5</f>
        <v>1</v>
      </c>
      <c r="E9" s="2"/>
    </row>
    <row r="10" spans="1:5" x14ac:dyDescent="0.25">
      <c r="A10" s="721"/>
      <c r="B10" s="408" t="s">
        <v>199</v>
      </c>
      <c r="C10" s="8"/>
      <c r="D10" s="722" t="b">
        <f>Outputs!D29&lt;Assumptions!F5</f>
        <v>1</v>
      </c>
      <c r="E10" s="2"/>
    </row>
    <row r="11" spans="1:5" ht="15.75" thickBot="1" x14ac:dyDescent="0.3">
      <c r="A11" s="721"/>
      <c r="B11" s="468" t="s">
        <v>200</v>
      </c>
      <c r="C11" s="205"/>
      <c r="D11" s="725" t="b">
        <f>$D$25&gt;0</f>
        <v>1</v>
      </c>
      <c r="E11" s="32"/>
    </row>
    <row r="12" spans="1:5" x14ac:dyDescent="0.25">
      <c r="B12" s="91"/>
    </row>
    <row r="13" spans="1:5" ht="19.5" thickBot="1" x14ac:dyDescent="0.35">
      <c r="A13" s="693" t="s">
        <v>484</v>
      </c>
      <c r="B13" s="91"/>
    </row>
    <row r="14" spans="1:5" ht="14.25" customHeight="1" x14ac:dyDescent="0.25">
      <c r="A14" s="718"/>
      <c r="B14" s="588" t="s">
        <v>201</v>
      </c>
      <c r="C14" s="188" t="s">
        <v>27</v>
      </c>
      <c r="D14" s="251">
        <f>'Project Model'!$Y$36</f>
        <v>31259500</v>
      </c>
      <c r="E14" s="703"/>
    </row>
    <row r="15" spans="1:5" x14ac:dyDescent="0.25">
      <c r="A15" s="718"/>
      <c r="B15" s="589" t="s">
        <v>202</v>
      </c>
      <c r="C15" s="276" t="s">
        <v>27</v>
      </c>
      <c r="D15" s="277">
        <f>'Project Model'!Y32</f>
        <v>19200000</v>
      </c>
      <c r="E15" s="704"/>
    </row>
    <row r="16" spans="1:5" x14ac:dyDescent="0.25">
      <c r="A16" s="718"/>
      <c r="B16" s="590" t="s">
        <v>167</v>
      </c>
      <c r="C16" s="96" t="s">
        <v>27</v>
      </c>
      <c r="D16" s="252">
        <f>Funding!B7</f>
        <v>3500000</v>
      </c>
      <c r="E16" s="705"/>
    </row>
    <row r="17" spans="1:7" x14ac:dyDescent="0.25">
      <c r="A17" s="718"/>
      <c r="B17" s="590" t="s">
        <v>203</v>
      </c>
      <c r="C17" s="96" t="s">
        <v>62</v>
      </c>
      <c r="D17" s="253">
        <f>D16/D15</f>
        <v>0.18229166666666666</v>
      </c>
      <c r="E17" s="706"/>
      <c r="G17" s="193"/>
    </row>
    <row r="18" spans="1:7" x14ac:dyDescent="0.25">
      <c r="A18" s="718"/>
      <c r="B18" s="590" t="s">
        <v>204</v>
      </c>
      <c r="C18" s="96" t="s">
        <v>205</v>
      </c>
      <c r="D18" s="682" cm="1">
        <f t="array" ref="D18">MAX((Cashflow!$G8:$G27&gt;0)*Cashflow!$H$8:$H$27)/12</f>
        <v>11.5</v>
      </c>
      <c r="E18" s="702"/>
    </row>
    <row r="19" spans="1:7" ht="15.75" thickBot="1" x14ac:dyDescent="0.3">
      <c r="A19" s="718"/>
      <c r="B19" s="652" t="s">
        <v>206</v>
      </c>
      <c r="C19" s="407" t="s">
        <v>205</v>
      </c>
      <c r="D19" s="472">
        <f>Assumptions!F12</f>
        <v>20</v>
      </c>
      <c r="E19" s="731"/>
    </row>
    <row r="20" spans="1:7" x14ac:dyDescent="0.25">
      <c r="A20" s="718"/>
      <c r="B20" s="655" t="s">
        <v>207</v>
      </c>
      <c r="C20" s="656" t="s">
        <v>208</v>
      </c>
      <c r="D20" s="456">
        <f>'Project Model'!Y110</f>
        <v>18779.98</v>
      </c>
      <c r="E20" s="707"/>
    </row>
    <row r="21" spans="1:7" ht="15.75" thickBot="1" x14ac:dyDescent="0.3">
      <c r="A21" s="718"/>
      <c r="B21" s="657" t="s">
        <v>209</v>
      </c>
      <c r="C21" s="658" t="s">
        <v>40</v>
      </c>
      <c r="D21" s="659">
        <f>Cashflow!M87</f>
        <v>405897.74974698533</v>
      </c>
      <c r="E21" s="708"/>
    </row>
    <row r="22" spans="1:7" x14ac:dyDescent="0.25">
      <c r="A22" s="718"/>
      <c r="B22" s="653" t="s">
        <v>210</v>
      </c>
      <c r="C22" s="654" t="s">
        <v>96</v>
      </c>
      <c r="D22" s="172">
        <f>'Project Model'!Y111</f>
        <v>12314.720399999998</v>
      </c>
      <c r="E22" s="710"/>
    </row>
    <row r="23" spans="1:7" x14ac:dyDescent="0.25">
      <c r="A23" s="718"/>
      <c r="B23" s="592" t="str">
        <f>"CO2-e tonnes saved by "&amp;TEXT(Funding!$B28,"DD MMM YYYY")</f>
        <v>CO2-e tonnes saved by 30 Jun 2030</v>
      </c>
      <c r="C23" s="97" t="s">
        <v>55</v>
      </c>
      <c r="D23" s="254">
        <f>Cashflow!$M$82</f>
        <v>37046.474294952299</v>
      </c>
      <c r="E23" s="701"/>
    </row>
    <row r="24" spans="1:7" x14ac:dyDescent="0.25">
      <c r="A24" s="718"/>
      <c r="B24" s="592" t="str">
        <f>"CO2-e tonnes saved by "&amp;TEXT(Funding!$B29,"DD MMM YYYY")</f>
        <v>CO2-e tonnes saved by 30 Jun 2050</v>
      </c>
      <c r="C24" s="97" t="s">
        <v>55</v>
      </c>
      <c r="D24" s="254">
        <f>Cashflow!$M$83</f>
        <v>232934.4546305972</v>
      </c>
      <c r="E24" s="701"/>
    </row>
    <row r="25" spans="1:7" x14ac:dyDescent="0.25">
      <c r="A25" s="718"/>
      <c r="B25" s="592" t="s">
        <v>211</v>
      </c>
      <c r="C25" s="97" t="s">
        <v>55</v>
      </c>
      <c r="D25" s="254">
        <f>Cashflow!$M$84</f>
        <v>235419.51277401161</v>
      </c>
      <c r="E25" s="701"/>
    </row>
    <row r="26" spans="1:7" x14ac:dyDescent="0.25">
      <c r="A26" s="718"/>
      <c r="B26" s="592" t="s">
        <v>212</v>
      </c>
      <c r="C26" s="97" t="s">
        <v>213</v>
      </c>
      <c r="D26" s="264">
        <f>D16/D22</f>
        <v>284.21270530835602</v>
      </c>
      <c r="E26" s="701"/>
    </row>
    <row r="27" spans="1:7" x14ac:dyDescent="0.25">
      <c r="A27" s="718"/>
      <c r="B27" s="593" t="s">
        <v>214</v>
      </c>
      <c r="C27" s="97" t="s">
        <v>215</v>
      </c>
      <c r="D27" s="264">
        <f>D16/D25</f>
        <v>14.867076899270396</v>
      </c>
      <c r="E27" s="701"/>
    </row>
    <row r="28" spans="1:7" ht="15.75" thickBot="1" x14ac:dyDescent="0.3">
      <c r="A28" s="718"/>
      <c r="B28" s="594" t="s">
        <v>216</v>
      </c>
      <c r="C28" s="265" t="s">
        <v>215</v>
      </c>
      <c r="D28" s="255">
        <f>D14/D25</f>
        <v>132.78211152364085</v>
      </c>
      <c r="E28" s="709"/>
    </row>
    <row r="29" spans="1:7" ht="15.75" x14ac:dyDescent="0.25">
      <c r="A29" s="718"/>
      <c r="B29" s="595" t="s">
        <v>217</v>
      </c>
      <c r="C29" s="280" t="s">
        <v>62</v>
      </c>
      <c r="D29" s="625">
        <f>IFERROR(IRR(Cashflow!$M$76:$BM$76),"Cashflows all + or all -")</f>
        <v>5.3059556621921633E-2</v>
      </c>
      <c r="E29" s="732"/>
    </row>
    <row r="30" spans="1:7" ht="15.75" x14ac:dyDescent="0.25">
      <c r="A30" s="718"/>
      <c r="B30" s="596" t="s">
        <v>218</v>
      </c>
      <c r="C30" s="278" t="s">
        <v>62</v>
      </c>
      <c r="D30" s="626">
        <f>IFERROR(IRR(Cashflow!$M$77:$BM$77),"Cashflows all + or all -")</f>
        <v>7.9980887854134375E-2</v>
      </c>
      <c r="E30" s="733"/>
    </row>
    <row r="31" spans="1:7" ht="15.75" x14ac:dyDescent="0.25">
      <c r="A31" s="718"/>
      <c r="B31" s="596" t="s">
        <v>219</v>
      </c>
      <c r="C31" s="278" t="s">
        <v>62</v>
      </c>
      <c r="D31" s="626">
        <f>Assumptions!F5</f>
        <v>7.7499999999999999E-2</v>
      </c>
      <c r="E31" s="733"/>
    </row>
    <row r="32" spans="1:7" ht="15.75" x14ac:dyDescent="0.25">
      <c r="A32" s="718"/>
      <c r="B32" s="596" t="s">
        <v>220</v>
      </c>
      <c r="C32" s="278" t="s">
        <v>62</v>
      </c>
      <c r="D32" s="626">
        <f>Assumptions!F6</f>
        <v>7.7499999999999999E-2</v>
      </c>
      <c r="E32" s="733"/>
    </row>
    <row r="33" spans="1:6" ht="15.75" x14ac:dyDescent="0.25">
      <c r="A33" s="718"/>
      <c r="B33" s="596" t="s">
        <v>221</v>
      </c>
      <c r="C33" s="278" t="s">
        <v>27</v>
      </c>
      <c r="D33" s="627">
        <f>NPV(Assumptions!$F$6,Cashflow!$M$76:$BM$76)</f>
        <v>-2978041.6289980235</v>
      </c>
      <c r="E33" s="733"/>
      <c r="F33" s="313"/>
    </row>
    <row r="34" spans="1:6" ht="15.75" x14ac:dyDescent="0.25">
      <c r="A34" s="718"/>
      <c r="B34" s="596" t="s">
        <v>222</v>
      </c>
      <c r="C34" s="278" t="s">
        <v>27</v>
      </c>
      <c r="D34" s="627">
        <f>NPV(Assumptions!$F$6,Cashflow!$M$77:$BM$77)</f>
        <v>256832.97690239019</v>
      </c>
      <c r="E34" s="733"/>
    </row>
    <row r="35" spans="1:6" x14ac:dyDescent="0.25">
      <c r="A35" s="718"/>
      <c r="B35" s="596" t="s">
        <v>223</v>
      </c>
      <c r="C35" s="278" t="s">
        <v>205</v>
      </c>
      <c r="D35" s="628">
        <f>COUNTIF(Cashflow!$M$78:$BM$78,"&lt;0")</f>
        <v>13</v>
      </c>
      <c r="E35" s="733"/>
    </row>
    <row r="36" spans="1:6" ht="15.75" thickBot="1" x14ac:dyDescent="0.3">
      <c r="A36" s="718"/>
      <c r="B36" s="597" t="s">
        <v>224</v>
      </c>
      <c r="C36" s="279" t="s">
        <v>205</v>
      </c>
      <c r="D36" s="629">
        <f>COUNTIF(Cashflow!$M$79:$BM$79,"&lt;0")</f>
        <v>10</v>
      </c>
      <c r="E36" s="734"/>
    </row>
  </sheetData>
  <conditionalFormatting sqref="D3:D11 D14:D36">
    <cfRule type="expression" dxfId="4" priority="1">
      <formula>NOT(_xlfn.ISFORMULA(D3))</formula>
    </cfRule>
  </conditionalFormatting>
  <conditionalFormatting sqref="D3:D11">
    <cfRule type="containsErrors" dxfId="3" priority="6">
      <formula>ISERROR(D3)</formula>
    </cfRule>
    <cfRule type="cellIs" dxfId="2" priority="7" operator="notEqual">
      <formula>TRUE</formula>
    </cfRule>
    <cfRule type="expression" dxfId="1" priority="8">
      <formula>NOT(_xlfn.ISFORMULA(D3))</formula>
    </cfRule>
  </conditionalFormatting>
  <pageMargins left="0.7" right="0.7" top="0.75" bottom="0.75" header="0.3" footer="0.3"/>
  <cellWatches>
    <cellWatch r="D25"/>
  </cellWatches>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52DAA-BB74-4CC4-8579-6C0FF5204A01}">
  <sheetPr codeName="Sheet7"/>
  <dimension ref="A1:G43"/>
  <sheetViews>
    <sheetView topLeftCell="A8" workbookViewId="0">
      <selection activeCell="K35" sqref="K35"/>
    </sheetView>
  </sheetViews>
  <sheetFormatPr defaultRowHeight="15" x14ac:dyDescent="0.25"/>
  <cols>
    <col min="1" max="1" width="6.7109375" customWidth="1"/>
    <col min="2" max="2" width="6" customWidth="1"/>
    <col min="3" max="3" width="52.85546875" customWidth="1"/>
    <col min="4" max="4" width="6.7109375" customWidth="1"/>
    <col min="5" max="5" width="9.28515625" customWidth="1"/>
    <col min="6" max="6" width="11" customWidth="1"/>
    <col min="7" max="7" width="12" customWidth="1"/>
  </cols>
  <sheetData>
    <row r="1" spans="1:7" ht="23.25" x14ac:dyDescent="0.25">
      <c r="A1" s="399" t="s">
        <v>342</v>
      </c>
      <c r="B1" s="400"/>
      <c r="C1" s="362"/>
      <c r="D1" s="400"/>
      <c r="E1" s="400"/>
      <c r="F1" s="400"/>
      <c r="G1" s="401"/>
    </row>
    <row r="2" spans="1:7" ht="15" customHeight="1" x14ac:dyDescent="0.25">
      <c r="A2" s="399"/>
      <c r="B2" s="400"/>
      <c r="C2" s="362"/>
      <c r="D2" s="400"/>
      <c r="E2" s="400"/>
      <c r="F2" s="400"/>
      <c r="G2" s="401"/>
    </row>
    <row r="3" spans="1:7" x14ac:dyDescent="0.25">
      <c r="A3" s="8" t="s">
        <v>343</v>
      </c>
      <c r="B3" s="400"/>
      <c r="C3" s="362"/>
      <c r="D3" s="400"/>
      <c r="E3" s="400"/>
      <c r="F3" s="400"/>
      <c r="G3" s="401"/>
    </row>
    <row r="4" spans="1:7" x14ac:dyDescent="0.25">
      <c r="A4" s="400"/>
      <c r="B4" s="400"/>
      <c r="C4" s="362"/>
      <c r="D4" s="400"/>
      <c r="E4" s="400"/>
      <c r="F4" s="400"/>
      <c r="G4" s="401"/>
    </row>
    <row r="5" spans="1:7" ht="14.65" customHeight="1" thickBot="1" x14ac:dyDescent="0.3">
      <c r="A5" s="916" t="s">
        <v>344</v>
      </c>
      <c r="B5" s="907" t="s">
        <v>345</v>
      </c>
      <c r="C5" s="921" t="s">
        <v>346</v>
      </c>
      <c r="D5" s="922"/>
      <c r="E5" s="922"/>
      <c r="F5" s="398" t="s">
        <v>347</v>
      </c>
    </row>
    <row r="6" spans="1:7" x14ac:dyDescent="0.25">
      <c r="A6" s="917"/>
      <c r="B6" s="908"/>
      <c r="C6" s="897"/>
      <c r="D6" s="897"/>
      <c r="E6" s="897"/>
      <c r="F6" s="55"/>
    </row>
    <row r="7" spans="1:7" x14ac:dyDescent="0.25">
      <c r="A7" s="917"/>
      <c r="B7" s="908"/>
      <c r="C7" s="890"/>
      <c r="D7" s="890"/>
      <c r="E7" s="890"/>
      <c r="F7" s="56"/>
    </row>
    <row r="8" spans="1:7" x14ac:dyDescent="0.25">
      <c r="A8" s="917"/>
      <c r="B8" s="908"/>
      <c r="C8" s="890"/>
      <c r="D8" s="890"/>
      <c r="E8" s="890"/>
      <c r="F8" s="56"/>
    </row>
    <row r="9" spans="1:7" x14ac:dyDescent="0.25">
      <c r="A9" s="917"/>
      <c r="B9" s="908"/>
      <c r="C9" s="890"/>
      <c r="D9" s="890"/>
      <c r="E9" s="890"/>
      <c r="F9" s="56"/>
    </row>
    <row r="10" spans="1:7" x14ac:dyDescent="0.25">
      <c r="A10" s="917"/>
      <c r="B10" s="908"/>
      <c r="C10" s="890"/>
      <c r="D10" s="890"/>
      <c r="E10" s="890"/>
      <c r="F10" s="56"/>
    </row>
    <row r="11" spans="1:7" ht="15.75" thickBot="1" x14ac:dyDescent="0.3">
      <c r="A11" s="917"/>
      <c r="B11" s="908"/>
      <c r="C11" s="887"/>
      <c r="D11" s="887"/>
      <c r="E11" s="887"/>
      <c r="F11" s="57"/>
    </row>
    <row r="12" spans="1:7" ht="15.75" thickBot="1" x14ac:dyDescent="0.3">
      <c r="A12" s="917"/>
      <c r="B12" s="909"/>
      <c r="C12" s="891" t="s">
        <v>348</v>
      </c>
      <c r="D12" s="892"/>
      <c r="E12" s="893"/>
      <c r="F12" s="58">
        <f>SUM(F6:F11)</f>
        <v>0</v>
      </c>
    </row>
    <row r="13" spans="1:7" ht="15.75" thickBot="1" x14ac:dyDescent="0.3">
      <c r="A13" s="918"/>
      <c r="B13" s="33"/>
    </row>
    <row r="14" spans="1:7" ht="29.25" thickBot="1" x14ac:dyDescent="0.3">
      <c r="A14" s="917"/>
      <c r="B14" s="910" t="s">
        <v>349</v>
      </c>
      <c r="C14" s="54" t="s">
        <v>350</v>
      </c>
      <c r="D14" s="37" t="s">
        <v>351</v>
      </c>
      <c r="E14" s="305" t="s">
        <v>352</v>
      </c>
      <c r="F14" s="200" t="s">
        <v>347</v>
      </c>
    </row>
    <row r="15" spans="1:7" x14ac:dyDescent="0.25">
      <c r="A15" s="917"/>
      <c r="B15" s="911"/>
      <c r="C15" s="52"/>
      <c r="D15" s="53">
        <v>0</v>
      </c>
      <c r="E15" s="62">
        <v>250</v>
      </c>
      <c r="F15" s="196">
        <f>D15*E15</f>
        <v>0</v>
      </c>
    </row>
    <row r="16" spans="1:7" x14ac:dyDescent="0.25">
      <c r="A16" s="917"/>
      <c r="B16" s="911"/>
      <c r="C16" s="40"/>
      <c r="D16" s="41"/>
      <c r="E16" s="63"/>
      <c r="F16" s="197">
        <f t="shared" ref="F16:F20" si="0">D16*E16</f>
        <v>0</v>
      </c>
    </row>
    <row r="17" spans="1:7" x14ac:dyDescent="0.25">
      <c r="A17" s="917"/>
      <c r="B17" s="911"/>
      <c r="C17" s="42"/>
      <c r="D17" s="41"/>
      <c r="E17" s="63"/>
      <c r="F17" s="197">
        <f t="shared" si="0"/>
        <v>0</v>
      </c>
    </row>
    <row r="18" spans="1:7" x14ac:dyDescent="0.25">
      <c r="A18" s="917"/>
      <c r="B18" s="911"/>
      <c r="C18" s="42"/>
      <c r="D18" s="41"/>
      <c r="E18" s="63"/>
      <c r="F18" s="197">
        <f t="shared" si="0"/>
        <v>0</v>
      </c>
    </row>
    <row r="19" spans="1:7" x14ac:dyDescent="0.25">
      <c r="A19" s="917"/>
      <c r="B19" s="911"/>
      <c r="C19" s="43"/>
      <c r="D19" s="34"/>
      <c r="E19" s="64"/>
      <c r="F19" s="197">
        <f t="shared" si="0"/>
        <v>0</v>
      </c>
    </row>
    <row r="20" spans="1:7" ht="15.75" thickBot="1" x14ac:dyDescent="0.3">
      <c r="A20" s="917"/>
      <c r="B20" s="911"/>
      <c r="C20" s="44"/>
      <c r="D20" s="36"/>
      <c r="E20" s="65"/>
      <c r="F20" s="198">
        <f t="shared" si="0"/>
        <v>0</v>
      </c>
    </row>
    <row r="21" spans="1:7" ht="15.75" thickBot="1" x14ac:dyDescent="0.3">
      <c r="A21" s="917"/>
      <c r="B21" s="912"/>
      <c r="C21" s="304" t="s">
        <v>348</v>
      </c>
      <c r="D21" s="37"/>
      <c r="E21" s="66"/>
      <c r="F21" s="59">
        <f>SUM(F15:F20)</f>
        <v>0</v>
      </c>
    </row>
    <row r="22" spans="1:7" ht="15.75" thickBot="1" x14ac:dyDescent="0.3">
      <c r="A22" s="919"/>
      <c r="B22" s="898" t="s">
        <v>353</v>
      </c>
      <c r="C22" s="899"/>
      <c r="D22" s="899"/>
      <c r="E22" s="900"/>
      <c r="F22" s="306">
        <f>F12+F21</f>
        <v>0</v>
      </c>
      <c r="G22" s="33"/>
    </row>
    <row r="23" spans="1:7" ht="15.75" thickBot="1" x14ac:dyDescent="0.3">
      <c r="A23" s="39"/>
      <c r="B23" s="39"/>
      <c r="C23" s="39"/>
      <c r="D23" s="39"/>
      <c r="E23" s="39"/>
      <c r="F23" s="39"/>
      <c r="G23" s="33"/>
    </row>
    <row r="24" spans="1:7" ht="15.75" thickBot="1" x14ac:dyDescent="0.3">
      <c r="A24" s="903" t="s">
        <v>354</v>
      </c>
      <c r="B24" s="913" t="s">
        <v>345</v>
      </c>
      <c r="C24" s="894" t="s">
        <v>346</v>
      </c>
      <c r="D24" s="895"/>
      <c r="E24" s="895"/>
      <c r="F24" s="303" t="s">
        <v>347</v>
      </c>
    </row>
    <row r="25" spans="1:7" x14ac:dyDescent="0.25">
      <c r="A25" s="904"/>
      <c r="B25" s="914"/>
      <c r="C25" s="896"/>
      <c r="D25" s="897"/>
      <c r="E25" s="897"/>
      <c r="F25" s="55">
        <v>0</v>
      </c>
    </row>
    <row r="26" spans="1:7" x14ac:dyDescent="0.25">
      <c r="A26" s="904"/>
      <c r="B26" s="914"/>
      <c r="C26" s="920"/>
      <c r="D26" s="890"/>
      <c r="E26" s="890"/>
      <c r="F26" s="56"/>
    </row>
    <row r="27" spans="1:7" x14ac:dyDescent="0.25">
      <c r="A27" s="904"/>
      <c r="B27" s="914"/>
      <c r="C27" s="920"/>
      <c r="D27" s="890"/>
      <c r="E27" s="890"/>
      <c r="F27" s="56"/>
    </row>
    <row r="28" spans="1:7" x14ac:dyDescent="0.25">
      <c r="A28" s="904"/>
      <c r="B28" s="914"/>
      <c r="C28" s="920"/>
      <c r="D28" s="890"/>
      <c r="E28" s="890"/>
      <c r="F28" s="56"/>
    </row>
    <row r="29" spans="1:7" x14ac:dyDescent="0.25">
      <c r="A29" s="904"/>
      <c r="B29" s="914"/>
      <c r="C29" s="920"/>
      <c r="D29" s="890"/>
      <c r="E29" s="890"/>
      <c r="F29" s="56"/>
    </row>
    <row r="30" spans="1:7" ht="15.75" thickBot="1" x14ac:dyDescent="0.3">
      <c r="A30" s="904"/>
      <c r="B30" s="914"/>
      <c r="C30" s="886"/>
      <c r="D30" s="887"/>
      <c r="E30" s="887"/>
      <c r="F30" s="57"/>
    </row>
    <row r="31" spans="1:7" ht="15.75" thickBot="1" x14ac:dyDescent="0.3">
      <c r="A31" s="904"/>
      <c r="B31" s="915"/>
      <c r="C31" s="888" t="s">
        <v>348</v>
      </c>
      <c r="D31" s="889"/>
      <c r="E31" s="889"/>
      <c r="F31" s="60">
        <f>SUM(F25:F30)</f>
        <v>0</v>
      </c>
    </row>
    <row r="32" spans="1:7" ht="15.75" thickBot="1" x14ac:dyDescent="0.3">
      <c r="A32" s="904"/>
      <c r="B32" s="39"/>
      <c r="C32" s="45"/>
      <c r="D32" s="38"/>
      <c r="E32" s="39"/>
      <c r="F32" s="46"/>
      <c r="G32" s="33"/>
    </row>
    <row r="33" spans="1:7" ht="15" customHeight="1" thickBot="1" x14ac:dyDescent="0.3">
      <c r="A33" s="904"/>
      <c r="B33" s="910" t="s">
        <v>349</v>
      </c>
      <c r="C33" s="54" t="s">
        <v>355</v>
      </c>
      <c r="D33" s="37" t="s">
        <v>351</v>
      </c>
      <c r="E33" s="305" t="s">
        <v>352</v>
      </c>
      <c r="F33" s="200" t="s">
        <v>347</v>
      </c>
    </row>
    <row r="34" spans="1:7" x14ac:dyDescent="0.25">
      <c r="A34" s="904"/>
      <c r="B34" s="911"/>
      <c r="C34" s="50"/>
      <c r="D34" s="51"/>
      <c r="E34" s="67"/>
      <c r="F34" s="199">
        <f>D34*E34</f>
        <v>0</v>
      </c>
    </row>
    <row r="35" spans="1:7" x14ac:dyDescent="0.25">
      <c r="A35" s="904"/>
      <c r="B35" s="911"/>
      <c r="C35" s="47"/>
      <c r="D35" s="34"/>
      <c r="E35" s="64"/>
      <c r="F35" s="199">
        <f t="shared" ref="F35:F39" si="1">D35*E35</f>
        <v>0</v>
      </c>
    </row>
    <row r="36" spans="1:7" x14ac:dyDescent="0.25">
      <c r="A36" s="904"/>
      <c r="B36" s="911"/>
      <c r="C36" s="48"/>
      <c r="D36" s="49"/>
      <c r="E36" s="68"/>
      <c r="F36" s="199">
        <f t="shared" si="1"/>
        <v>0</v>
      </c>
    </row>
    <row r="37" spans="1:7" x14ac:dyDescent="0.25">
      <c r="A37" s="904"/>
      <c r="B37" s="911"/>
      <c r="C37" s="47"/>
      <c r="D37" s="34"/>
      <c r="E37" s="64"/>
      <c r="F37" s="199">
        <f t="shared" si="1"/>
        <v>0</v>
      </c>
    </row>
    <row r="38" spans="1:7" x14ac:dyDescent="0.25">
      <c r="A38" s="904"/>
      <c r="B38" s="911"/>
      <c r="C38" s="47"/>
      <c r="D38" s="34"/>
      <c r="E38" s="64"/>
      <c r="F38" s="199">
        <f t="shared" si="1"/>
        <v>0</v>
      </c>
    </row>
    <row r="39" spans="1:7" x14ac:dyDescent="0.25">
      <c r="A39" s="904"/>
      <c r="B39" s="911"/>
      <c r="C39" s="47"/>
      <c r="D39" s="34"/>
      <c r="E39" s="64"/>
      <c r="F39" s="199">
        <f t="shared" si="1"/>
        <v>0</v>
      </c>
    </row>
    <row r="40" spans="1:7" ht="15.75" thickBot="1" x14ac:dyDescent="0.3">
      <c r="A40" s="904"/>
      <c r="B40" s="912"/>
      <c r="C40" s="307" t="s">
        <v>348</v>
      </c>
      <c r="D40" s="35"/>
      <c r="E40" s="69"/>
      <c r="F40" s="61">
        <f>SUM(F34:F39)</f>
        <v>0</v>
      </c>
    </row>
    <row r="41" spans="1:7" ht="15.75" thickBot="1" x14ac:dyDescent="0.3">
      <c r="A41" s="905"/>
      <c r="B41" s="901" t="s">
        <v>356</v>
      </c>
      <c r="C41" s="902"/>
      <c r="D41" s="902"/>
      <c r="E41" s="906"/>
      <c r="F41" s="308">
        <f>F31+F40</f>
        <v>0</v>
      </c>
      <c r="G41" s="33"/>
    </row>
    <row r="42" spans="1:7" ht="15.75" thickBot="1" x14ac:dyDescent="0.3"/>
    <row r="43" spans="1:7" ht="15.75" thickBot="1" x14ac:dyDescent="0.3">
      <c r="A43" s="901" t="s">
        <v>357</v>
      </c>
      <c r="B43" s="902"/>
      <c r="C43" s="902"/>
      <c r="D43" s="902"/>
      <c r="E43" s="309"/>
      <c r="F43" s="306">
        <f>F22+F41</f>
        <v>0</v>
      </c>
    </row>
  </sheetData>
  <mergeCells count="25">
    <mergeCell ref="A43:D43"/>
    <mergeCell ref="A24:A41"/>
    <mergeCell ref="B41:E41"/>
    <mergeCell ref="B5:B12"/>
    <mergeCell ref="B14:B21"/>
    <mergeCell ref="B24:B31"/>
    <mergeCell ref="B33:B40"/>
    <mergeCell ref="A5:A22"/>
    <mergeCell ref="C26:E26"/>
    <mergeCell ref="C27:E27"/>
    <mergeCell ref="C28:E28"/>
    <mergeCell ref="C29:E29"/>
    <mergeCell ref="C5:E5"/>
    <mergeCell ref="C6:E6"/>
    <mergeCell ref="C7:E7"/>
    <mergeCell ref="C8:E8"/>
    <mergeCell ref="C30:E30"/>
    <mergeCell ref="C31:E31"/>
    <mergeCell ref="C9:E9"/>
    <mergeCell ref="C10:E10"/>
    <mergeCell ref="C12:E12"/>
    <mergeCell ref="C24:E24"/>
    <mergeCell ref="C25:E25"/>
    <mergeCell ref="B22:E22"/>
    <mergeCell ref="C11:E11"/>
  </mergeCells>
  <conditionalFormatting sqref="F12 F15:F22 F31 F34:F41 F43">
    <cfRule type="expression" dxfId="0" priority="1">
      <formula>NOT(_xlfn.ISFORMULA(F12))</formula>
    </cfRule>
  </conditionalFormatting>
  <pageMargins left="0.7" right="0.7" top="0.75" bottom="0.75" header="0.3" footer="0.3"/>
  <pageSetup paperSize="9" orientation="portrait" r:id="rId1"/>
  <headerFooter>
    <oddHeader>&amp;C&amp;"Calibri"&amp;10&amp;KFF0000 OFFICIAL&amp;1#_x000D_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94C31-F182-4B17-ACED-95B7EC7B5999}">
  <sheetPr codeName="Sheet10"/>
  <dimension ref="A1:F27"/>
  <sheetViews>
    <sheetView workbookViewId="0">
      <selection activeCell="I22" sqref="I22"/>
    </sheetView>
  </sheetViews>
  <sheetFormatPr defaultRowHeight="15" x14ac:dyDescent="0.25"/>
  <cols>
    <col min="2" max="2" width="39.85546875" customWidth="1"/>
    <col min="3" max="3" width="15.28515625" customWidth="1"/>
    <col min="4" max="4" width="15.28515625" bestFit="1" customWidth="1"/>
    <col min="5" max="5" width="12.42578125" customWidth="1"/>
    <col min="6" max="6" width="16.5703125" customWidth="1"/>
  </cols>
  <sheetData>
    <row r="1" spans="1:6" ht="23.25" x14ac:dyDescent="0.35">
      <c r="A1" s="269" t="s">
        <v>2</v>
      </c>
    </row>
    <row r="2" spans="1:6" ht="30" customHeight="1" x14ac:dyDescent="0.25">
      <c r="A2" s="329" t="s">
        <v>358</v>
      </c>
      <c r="B2" s="187" t="s">
        <v>359</v>
      </c>
      <c r="C2" s="328" t="s">
        <v>360</v>
      </c>
      <c r="D2" s="328" t="s">
        <v>361</v>
      </c>
      <c r="E2" s="328" t="s">
        <v>362</v>
      </c>
      <c r="F2" s="328" t="s">
        <v>363</v>
      </c>
    </row>
    <row r="3" spans="1:6" x14ac:dyDescent="0.25">
      <c r="A3" s="1">
        <v>1</v>
      </c>
      <c r="B3" s="190" t="str" cm="1">
        <f t="array" ref="B3:B22">_xlfn.ANCHORARRAY(Cashflow!B8)</f>
        <v>Not tied to a module</v>
      </c>
      <c r="C3" s="191"/>
      <c r="D3" s="191" cm="1">
        <f t="array" ref="D3:D22">TRANSPOSE('Project Model'!E32:X32)</f>
        <v>100000</v>
      </c>
      <c r="E3" s="191" cm="1">
        <f t="array" ref="E3:E22">TRANSPOSE('Project Model'!E38:X38)</f>
        <v>18229.166666666664</v>
      </c>
      <c r="F3" s="195">
        <f>EDATE(Assumptions!$F$9,Cashflow!$H8)</f>
        <v>46357</v>
      </c>
    </row>
    <row r="4" spans="1:6" x14ac:dyDescent="0.25">
      <c r="A4" s="1">
        <v>2</v>
      </c>
      <c r="B4" s="190" t="str">
        <v>FEED and approvals</v>
      </c>
      <c r="C4" s="191"/>
      <c r="D4" s="191">
        <v>100000</v>
      </c>
      <c r="E4" s="191">
        <v>18229.166666666664</v>
      </c>
      <c r="F4" s="195">
        <f>EDATE(Assumptions!$F$9,Cashflow!$H9)</f>
        <v>46478</v>
      </c>
    </row>
    <row r="5" spans="1:6" x14ac:dyDescent="0.25">
      <c r="A5" s="1">
        <v>3</v>
      </c>
      <c r="B5" s="190" t="str">
        <v>Solar North SAT</v>
      </c>
      <c r="C5" s="191"/>
      <c r="D5" s="191">
        <v>2700000</v>
      </c>
      <c r="E5" s="191">
        <v>492187.5</v>
      </c>
      <c r="F5" s="195">
        <f>EDATE(Assumptions!$F$9,Cashflow!$H10)</f>
        <v>46478</v>
      </c>
    </row>
    <row r="6" spans="1:6" x14ac:dyDescent="0.25">
      <c r="A6" s="1">
        <v>4</v>
      </c>
      <c r="B6" s="190" t="str">
        <v>Solar East/West</v>
      </c>
      <c r="C6" s="191"/>
      <c r="D6" s="191">
        <v>2700000</v>
      </c>
      <c r="E6" s="191">
        <v>492187.5</v>
      </c>
      <c r="F6" s="195">
        <f>EDATE(Assumptions!$F$9,Cashflow!$H11)</f>
        <v>46508</v>
      </c>
    </row>
    <row r="7" spans="1:6" x14ac:dyDescent="0.25">
      <c r="A7" s="1">
        <v>5</v>
      </c>
      <c r="B7" s="190" t="str">
        <v>Wind farm</v>
      </c>
      <c r="C7" s="191"/>
      <c r="D7" s="191">
        <v>5450000</v>
      </c>
      <c r="E7" s="191">
        <v>993489.58333333337</v>
      </c>
      <c r="F7" s="195">
        <f>EDATE(Assumptions!$F$9,Cashflow!$H12)</f>
        <v>46478</v>
      </c>
    </row>
    <row r="8" spans="1:6" x14ac:dyDescent="0.25">
      <c r="A8" s="1">
        <v>6</v>
      </c>
      <c r="B8" s="190" t="str">
        <v>Biogas generator</v>
      </c>
      <c r="C8" s="191"/>
      <c r="D8" s="191">
        <v>1100000</v>
      </c>
      <c r="E8" s="191">
        <v>200520.83333333331</v>
      </c>
      <c r="F8" s="195">
        <f>EDATE(Assumptions!$F$9,Cashflow!$H13)</f>
        <v>46661</v>
      </c>
    </row>
    <row r="9" spans="1:6" x14ac:dyDescent="0.25">
      <c r="A9" s="1">
        <v>7</v>
      </c>
      <c r="B9" s="190" t="str">
        <v>Battery system</v>
      </c>
      <c r="C9" s="191"/>
      <c r="D9" s="191">
        <v>7050000</v>
      </c>
      <c r="E9" s="191">
        <v>1285156.25</v>
      </c>
      <c r="F9" s="195">
        <f>EDATE(Assumptions!$F$9,Cashflow!$H14)</f>
        <v>46844</v>
      </c>
    </row>
    <row r="10" spans="1:6" x14ac:dyDescent="0.25">
      <c r="A10" s="1">
        <v>8</v>
      </c>
      <c r="B10" s="190" t="str">
        <v>Battery Refresh</v>
      </c>
      <c r="C10" s="191"/>
      <c r="D10" s="191">
        <v>0</v>
      </c>
      <c r="E10" s="191">
        <v>0</v>
      </c>
      <c r="F10" s="195">
        <f>EDATE(Assumptions!$F$9,Cashflow!$H15)</f>
        <v>50496</v>
      </c>
    </row>
    <row r="11" spans="1:6" x14ac:dyDescent="0.25">
      <c r="A11" s="1">
        <v>9</v>
      </c>
      <c r="B11" s="190" t="str">
        <v>Inverter refresh</v>
      </c>
      <c r="C11" s="191"/>
      <c r="D11" s="191">
        <v>0</v>
      </c>
      <c r="E11" s="191">
        <v>0</v>
      </c>
      <c r="F11" s="195">
        <f>EDATE(Assumptions!$F$9,Cashflow!$H26)</f>
        <v>46296</v>
      </c>
    </row>
    <row r="12" spans="1:6" x14ac:dyDescent="0.25">
      <c r="A12" s="1">
        <v>10</v>
      </c>
      <c r="B12" s="190" t="str">
        <v>Unused module</v>
      </c>
      <c r="C12" s="191"/>
      <c r="D12" s="191">
        <v>0</v>
      </c>
      <c r="E12" s="191">
        <v>0</v>
      </c>
      <c r="F12" s="195">
        <f>EDATE(Assumptions!$F$9,Cashflow!$H27)</f>
        <v>46296</v>
      </c>
    </row>
    <row r="13" spans="1:6" x14ac:dyDescent="0.25">
      <c r="A13" s="1">
        <v>11</v>
      </c>
      <c r="B13" s="190" t="str">
        <v>Unused module</v>
      </c>
      <c r="C13" s="191"/>
      <c r="D13" s="191">
        <v>0</v>
      </c>
      <c r="E13" s="191">
        <v>0</v>
      </c>
      <c r="F13" s="195"/>
    </row>
    <row r="14" spans="1:6" x14ac:dyDescent="0.25">
      <c r="A14" s="1">
        <v>12</v>
      </c>
      <c r="B14" s="190" t="str">
        <v>Unused module</v>
      </c>
      <c r="C14" s="191"/>
      <c r="D14" s="191">
        <v>0</v>
      </c>
      <c r="E14" s="191">
        <v>0</v>
      </c>
      <c r="F14" s="195"/>
    </row>
    <row r="15" spans="1:6" x14ac:dyDescent="0.25">
      <c r="A15" s="1">
        <v>13</v>
      </c>
      <c r="B15" s="190" t="str">
        <v>Unused module</v>
      </c>
      <c r="C15" s="191"/>
      <c r="D15" s="191">
        <v>0</v>
      </c>
      <c r="E15" s="191">
        <v>0</v>
      </c>
      <c r="F15" s="195"/>
    </row>
    <row r="16" spans="1:6" x14ac:dyDescent="0.25">
      <c r="A16" s="1">
        <v>14</v>
      </c>
      <c r="B16" s="190" t="str">
        <v>Unused module</v>
      </c>
      <c r="C16" s="191"/>
      <c r="D16" s="191">
        <v>0</v>
      </c>
      <c r="E16" s="191">
        <v>0</v>
      </c>
      <c r="F16" s="195"/>
    </row>
    <row r="17" spans="1:6" x14ac:dyDescent="0.25">
      <c r="A17" s="1">
        <v>15</v>
      </c>
      <c r="B17" s="190" t="str">
        <v>Unused module</v>
      </c>
      <c r="C17" s="191"/>
      <c r="D17" s="191">
        <v>0</v>
      </c>
      <c r="E17" s="191">
        <v>0</v>
      </c>
      <c r="F17" s="195"/>
    </row>
    <row r="18" spans="1:6" x14ac:dyDescent="0.25">
      <c r="A18" s="1">
        <v>16</v>
      </c>
      <c r="B18" s="190" t="str">
        <v>Unused module</v>
      </c>
      <c r="C18" s="191"/>
      <c r="D18" s="191">
        <v>0</v>
      </c>
      <c r="E18" s="191">
        <v>0</v>
      </c>
      <c r="F18" s="195"/>
    </row>
    <row r="19" spans="1:6" x14ac:dyDescent="0.25">
      <c r="A19" s="1">
        <v>17</v>
      </c>
      <c r="B19" s="190" t="str">
        <v>Unused module</v>
      </c>
      <c r="C19" s="191"/>
      <c r="D19" s="191">
        <v>0</v>
      </c>
      <c r="E19" s="191">
        <v>0</v>
      </c>
      <c r="F19" s="195"/>
    </row>
    <row r="20" spans="1:6" x14ac:dyDescent="0.25">
      <c r="A20" s="1">
        <v>18</v>
      </c>
      <c r="B20" s="190" t="str">
        <v>Unused module</v>
      </c>
      <c r="C20" s="191"/>
      <c r="D20" s="191">
        <v>0</v>
      </c>
      <c r="E20" s="191">
        <v>0</v>
      </c>
      <c r="F20" s="195"/>
    </row>
    <row r="21" spans="1:6" x14ac:dyDescent="0.25">
      <c r="A21" s="1">
        <v>19</v>
      </c>
      <c r="B21" s="190" t="str">
        <v>Unused module</v>
      </c>
      <c r="C21" s="191"/>
      <c r="D21" s="191">
        <v>0</v>
      </c>
      <c r="E21" s="191">
        <v>0</v>
      </c>
      <c r="F21" s="195"/>
    </row>
    <row r="22" spans="1:6" x14ac:dyDescent="0.25">
      <c r="A22" s="1">
        <v>20</v>
      </c>
      <c r="B22" s="190" t="str">
        <v>Unused module</v>
      </c>
      <c r="C22" s="191"/>
      <c r="D22" s="191">
        <v>0</v>
      </c>
      <c r="E22" s="191">
        <v>0</v>
      </c>
      <c r="F22" s="195"/>
    </row>
    <row r="23" spans="1:6" x14ac:dyDescent="0.25">
      <c r="A23" s="186" t="s">
        <v>348</v>
      </c>
      <c r="B23" s="187"/>
      <c r="C23" s="194">
        <f>SUM($C$3:$C$16)</f>
        <v>0</v>
      </c>
      <c r="D23" s="194">
        <f>SUM($D$3:$D$16)</f>
        <v>19200000</v>
      </c>
      <c r="E23" s="194">
        <f>SUM($E$3:$E$16)</f>
        <v>3500000</v>
      </c>
      <c r="F23" s="187"/>
    </row>
    <row r="25" spans="1:6" x14ac:dyDescent="0.25">
      <c r="A25" t="s">
        <v>364</v>
      </c>
    </row>
    <row r="26" spans="1:6" x14ac:dyDescent="0.25">
      <c r="A26" t="s">
        <v>461</v>
      </c>
    </row>
    <row r="27" spans="1:6" x14ac:dyDescent="0.25">
      <c r="A27" t="s">
        <v>462</v>
      </c>
    </row>
  </sheetData>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34AD2-2439-4D68-A04D-399A33F3539A}">
  <sheetPr codeName="Sheet9"/>
  <dimension ref="A1"/>
  <sheetViews>
    <sheetView topLeftCell="A18" zoomScale="90" zoomScaleNormal="90" workbookViewId="0">
      <selection activeCell="AC32" sqref="AC32"/>
    </sheetView>
  </sheetViews>
  <sheetFormatPr defaultRowHeight="15" x14ac:dyDescent="0.25"/>
  <sheetData>
    <row r="1" spans="1:1" ht="23.25" x14ac:dyDescent="0.35">
      <c r="A1" s="269" t="s">
        <v>365</v>
      </c>
    </row>
  </sheetData>
  <pageMargins left="0.7" right="0.7" top="0.75" bottom="0.75" header="0.3" footer="0.3"/>
  <headerFooter>
    <oddHeader>&amp;C&amp;"Calibri"&amp;10&amp;KFF0000 OFFICIAL&amp;1#_x000D_</oddHead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57f890e-6ee1-42c2-87a4-67251f534738" xsi:nil="true"/>
    <daf2eb9bdeab441581d016ea133ba0a9 xmlns="757f890e-6ee1-42c2-87a4-67251f534738">
      <Terms xmlns="http://schemas.microsoft.com/office/infopath/2007/PartnerControls"/>
    </daf2eb9bdeab441581d016ea133ba0a9>
    <ActiveFlag xmlns="757f890e-6ee1-42c2-87a4-67251f534738">Active</ActiveFlag>
    <lcf76f155ced4ddcb4097134ff3c332f xmlns="d324fbc0-4d0b-4121-bd9d-204dc4eab72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WER Document" ma:contentTypeID="0x01010015C2573C1299BB40B19C9C898C58B77100154DFFFBE3E1DE4789348F0F74A47208" ma:contentTypeVersion="20" ma:contentTypeDescription="" ma:contentTypeScope="" ma:versionID="abc24234dba0d25b8904295283351a64">
  <xsd:schema xmlns:xsd="http://www.w3.org/2001/XMLSchema" xmlns:xs="http://www.w3.org/2001/XMLSchema" xmlns:p="http://schemas.microsoft.com/office/2006/metadata/properties" xmlns:ns2="757f890e-6ee1-42c2-87a4-67251f534738" xmlns:ns3="d324fbc0-4d0b-4121-bd9d-204dc4eab728" targetNamespace="http://schemas.microsoft.com/office/2006/metadata/properties" ma:root="true" ma:fieldsID="4a7e5d2aabdc2e5e658d64daa4aedcef" ns2:_="" ns3:_="">
    <xsd:import namespace="757f890e-6ee1-42c2-87a4-67251f534738"/>
    <xsd:import namespace="d324fbc0-4d0b-4121-bd9d-204dc4eab728"/>
    <xsd:element name="properties">
      <xsd:complexType>
        <xsd:sequence>
          <xsd:element name="documentManagement">
            <xsd:complexType>
              <xsd:all>
                <xsd:element ref="ns2:daf2eb9bdeab441581d016ea133ba0a9" minOccurs="0"/>
                <xsd:element ref="ns2:TaxCatchAll" minOccurs="0"/>
                <xsd:element ref="ns2:TaxCatchAllLabel" minOccurs="0"/>
                <xsd:element ref="ns2:ActiveFlag"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f890e-6ee1-42c2-87a4-67251f534738" elementFormDefault="qualified">
    <xsd:import namespace="http://schemas.microsoft.com/office/2006/documentManagement/types"/>
    <xsd:import namespace="http://schemas.microsoft.com/office/infopath/2007/PartnerControls"/>
    <xsd:element name="daf2eb9bdeab441581d016ea133ba0a9" ma:index="8" nillable="true" ma:taxonomy="true" ma:internalName="daf2eb9bdeab441581d016ea133ba0a9" ma:taxonomyFieldName="DocumentType" ma:displayName="DocumentType" ma:default="" ma:fieldId="{daf2eb9b-deab-4415-81d0-16ea133ba0a9}" ma:sspId="1ca7afb8-23c1-4170-8ec2-2d00fcd79873" ma:termSetId="e9ffdcb7-8a8c-440a-a27c-db3f09facdb8"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31745245-6ce3-425d-a2ea-ff883855d0d9}" ma:internalName="TaxCatchAll" ma:showField="CatchAllData"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31745245-6ce3-425d-a2ea-ff883855d0d9}" ma:internalName="TaxCatchAllLabel" ma:readOnly="true" ma:showField="CatchAllDataLabel" ma:web="757f890e-6ee1-42c2-87a4-67251f534738">
      <xsd:complexType>
        <xsd:complexContent>
          <xsd:extension base="dms:MultiChoiceLookup">
            <xsd:sequence>
              <xsd:element name="Value" type="dms:Lookup" maxOccurs="unbounded" minOccurs="0" nillable="true"/>
            </xsd:sequence>
          </xsd:extension>
        </xsd:complexContent>
      </xsd:complexType>
    </xsd:element>
    <xsd:element name="ActiveFlag" ma:index="12" nillable="true" ma:displayName="ActiveFlag" ma:default="Active" ma:format="Dropdown" ma:indexed="true" ma:internalName="ActiveFlag">
      <xsd:simpleType>
        <xsd:restriction base="dms:Choice">
          <xsd:enumeration value="Active"/>
          <xsd:enumeration value="Closed"/>
        </xsd:restrictio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324fbc0-4d0b-4121-bd9d-204dc4eab728"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internalName="MediaServiceLocation"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1ca7afb8-23c1-4170-8ec2-2d00fcd7987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False</openByDefault>
  <xsnScope/>
</customXsn>
</file>

<file path=customXml/itemProps1.xml><?xml version="1.0" encoding="utf-8"?>
<ds:datastoreItem xmlns:ds="http://schemas.openxmlformats.org/officeDocument/2006/customXml" ds:itemID="{087A0EE9-F0D1-4234-A185-3C42EA5992C9}">
  <ds:schemaRefs>
    <ds:schemaRef ds:uri="http://schemas.microsoft.com/office/2006/metadata/properties"/>
    <ds:schemaRef ds:uri="http://schemas.microsoft.com/office/infopath/2007/PartnerControls"/>
    <ds:schemaRef ds:uri="757f890e-6ee1-42c2-87a4-67251f534738"/>
    <ds:schemaRef ds:uri="d324fbc0-4d0b-4121-bd9d-204dc4eab728"/>
  </ds:schemaRefs>
</ds:datastoreItem>
</file>

<file path=customXml/itemProps2.xml><?xml version="1.0" encoding="utf-8"?>
<ds:datastoreItem xmlns:ds="http://schemas.openxmlformats.org/officeDocument/2006/customXml" ds:itemID="{8A9BA58F-0E5F-4A1E-94BE-75E3E430978E}">
  <ds:schemaRefs>
    <ds:schemaRef ds:uri="http://schemas.microsoft.com/sharepoint/v3/contenttype/forms"/>
  </ds:schemaRefs>
</ds:datastoreItem>
</file>

<file path=customXml/itemProps3.xml><?xml version="1.0" encoding="utf-8"?>
<ds:datastoreItem xmlns:ds="http://schemas.openxmlformats.org/officeDocument/2006/customXml" ds:itemID="{12015B88-DD5C-48BB-9A70-4CD1EC90DB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f890e-6ee1-42c2-87a4-67251f534738"/>
    <ds:schemaRef ds:uri="d324fbc0-4d0b-4121-bd9d-204dc4eab7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D39F885-2BFF-47BB-94F6-362EF967CEB2}">
  <ds:schemaRefs>
    <ds:schemaRef ds:uri="http://schemas.microsoft.com/office/2006/metadata/customXs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Index</vt:lpstr>
      <vt:lpstr>Assumptions</vt:lpstr>
      <vt:lpstr>Project Model</vt:lpstr>
      <vt:lpstr>Cashflow</vt:lpstr>
      <vt:lpstr>Funding</vt:lpstr>
      <vt:lpstr>Outputs</vt:lpstr>
      <vt:lpstr>In-kind</vt:lpstr>
      <vt:lpstr>Milestones</vt:lpstr>
      <vt:lpstr>Charts</vt:lpstr>
      <vt:lpstr>Eligible costs</vt:lpstr>
      <vt:lpstr>Scratchpad</vt:lpstr>
      <vt:lpstr>Grid emissions</vt:lpstr>
      <vt:lpstr>Glossary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 Richardson</dc:creator>
  <cp:keywords/>
  <dc:description/>
  <cp:lastModifiedBy>Ro Richardson</cp:lastModifiedBy>
  <cp:revision/>
  <dcterms:created xsi:type="dcterms:W3CDTF">2020-12-03T02:52:38Z</dcterms:created>
  <dcterms:modified xsi:type="dcterms:W3CDTF">2026-05-05T03:36:50Z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0x01010015C2573C1299BB40B19C9C898C58B77100154DFFFBE3E1DE4789348F0F74A47208</vt:lpwstr>
  </property>
  <property fmtid="{D5CDD505-2E9C-101B-9397-08002B2CF9AE}" pid="3" name="DocumentType">
    <vt:lpwstr/>
  </property>
  <property fmtid="{D5CDD505-2E9C-101B-9397-08002B2CF9AE}" pid="4" name="ContentType">
    <vt:lpwstr>DWER Document</vt:lpwstr>
  </property>
  <property fmtid="{D5CDD505-2E9C-101B-9397-08002B2CF9AE}" pid="5" name="ActiveFlag">
    <vt:lpwstr>Active</vt:lpwstr>
  </property>
  <property fmtid="{D5CDD505-2E9C-101B-9397-08002B2CF9AE}" pid="6" name="ScopeNotes">
    <vt:lpwstr/>
  </property>
  <property fmtid="{D5CDD505-2E9C-101B-9397-08002B2CF9AE}" pid="7" name="ParentLabel">
    <vt:lpwstr/>
  </property>
  <property fmtid="{D5CDD505-2E9C-101B-9397-08002B2CF9AE}" pid="8" name="MeetingDate">
    <vt:lpwstr/>
  </property>
  <property fmtid="{D5CDD505-2E9C-101B-9397-08002B2CF9AE}" pid="9" name="MediaServiceImageTags">
    <vt:lpwstr/>
  </property>
  <property fmtid="{D5CDD505-2E9C-101B-9397-08002B2CF9AE}" pid="10" name="MSIP_Label_8e7b4816-525d-4976-93bd-bcb06a9c224c_Enabled">
    <vt:lpwstr>true</vt:lpwstr>
  </property>
  <property fmtid="{D5CDD505-2E9C-101B-9397-08002B2CF9AE}" pid="11" name="MSIP_Label_8e7b4816-525d-4976-93bd-bcb06a9c224c_SetDate">
    <vt:lpwstr>2023-12-12T01:10:07Z</vt:lpwstr>
  </property>
  <property fmtid="{D5CDD505-2E9C-101B-9397-08002B2CF9AE}" pid="12" name="MSIP_Label_8e7b4816-525d-4976-93bd-bcb06a9c224c_Method">
    <vt:lpwstr>Standard</vt:lpwstr>
  </property>
  <property fmtid="{D5CDD505-2E9C-101B-9397-08002B2CF9AE}" pid="13" name="MSIP_Label_8e7b4816-525d-4976-93bd-bcb06a9c224c_Name">
    <vt:lpwstr>Official</vt:lpwstr>
  </property>
  <property fmtid="{D5CDD505-2E9C-101B-9397-08002B2CF9AE}" pid="14" name="MSIP_Label_8e7b4816-525d-4976-93bd-bcb06a9c224c_SiteId">
    <vt:lpwstr>53ebe217-aa1e-46fe-b88e-9d762dec2ef6</vt:lpwstr>
  </property>
  <property fmtid="{D5CDD505-2E9C-101B-9397-08002B2CF9AE}" pid="15" name="MSIP_Label_8e7b4816-525d-4976-93bd-bcb06a9c224c_ActionId">
    <vt:lpwstr>3857a05d-365d-4a46-97e0-590dfb55290b</vt:lpwstr>
  </property>
  <property fmtid="{D5CDD505-2E9C-101B-9397-08002B2CF9AE}" pid="16" name="MSIP_Label_8e7b4816-525d-4976-93bd-bcb06a9c224c_ContentBits">
    <vt:lpwstr>1</vt:lpwstr>
  </property>
</Properties>
</file>