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A5937BBA-44A5-4C0E-A3FA-B7187C9B8E7A}" xr6:coauthVersionLast="47" xr6:coauthVersionMax="47" xr10:uidLastSave="{00000000-0000-0000-0000-000000000000}"/>
  <bookViews>
    <workbookView xWindow="-120" yWindow="-120" windowWidth="29040" windowHeight="15720" activeTab="2" xr2:uid="{653D7857-72C1-4788-95B7-D499B7C275EB}"/>
  </bookViews>
  <sheets>
    <sheet name="Title" sheetId="17" r:id="rId1"/>
    <sheet name="Chart" sheetId="13" r:id="rId2"/>
    <sheet name="Parameters" sheetId="9" r:id="rId3"/>
    <sheet name="Calculations" sheetId="8" r:id="rId4"/>
    <sheet name="WP" sheetId="14" r:id="rId5"/>
    <sheet name="Gas" sheetId="15" r:id="rId6"/>
    <sheet name="Distillate" sheetId="16" r:id="rId7"/>
    <sheet name="CPI_FX" sheetId="10" r:id="rId8"/>
    <sheet name="IASR" sheetId="4" r:id="rId9"/>
    <sheet name="TFlow33" sheetId="5" r:id="rId10"/>
    <sheet name="Rawlinsons" sheetId="7" r:id="rId11"/>
    <sheet name="Land cost" sheetId="12" r:id="rId12"/>
  </sheets>
  <externalReferences>
    <externalReference r:id="rId13"/>
  </externalReferences>
  <definedNames>
    <definedName name="_xlnm._FilterDatabase" localSheetId="10" hidden="1">Rawlinsons!$A$7:$C$28</definedName>
    <definedName name="AMortisationPeriod_Years">Parameters!$B$17</definedName>
    <definedName name="BESS_MW">Parameters!$B$21</definedName>
    <definedName name="CapCreditsMultiplier_Flex">Parameters!$C$81</definedName>
    <definedName name="CapCreditsMultiplier_Peak">Parameters!$C$80</definedName>
    <definedName name="CashCycle_Days">Parameters!$B$50</definedName>
    <definedName name="ConfigParamsTable">Parameters!$C$56:$AC$96</definedName>
    <definedName name="ConfigRow_DBNGPTariff_MillionsPerYear">Parameters!$C$78</definedName>
    <definedName name="ConfigRow_ElecConnCost_Millions">Parameters!$C$73</definedName>
    <definedName name="ConfigRow_GasBara">Parameters!$C$64</definedName>
    <definedName name="ConfigRow_GAsConnCost_Millions">Parameters!$C$74</definedName>
    <definedName name="ConfigRow_IASRSelection">Parameters!$C$57</definedName>
    <definedName name="ConfigRow_LandAreaHa">Parameters!$C$71</definedName>
    <definedName name="ConfigRow_LocalisationFactor">Parameters!$C$68</definedName>
    <definedName name="ConfigRow_NetHR">Parameters!$C$63</definedName>
    <definedName name="ConfigRow_NetMW">Parameters!$C$61</definedName>
    <definedName name="ConfigRow_NumberOfConnections">Parameters!$C$70</definedName>
    <definedName name="ConfigRow_TUOSTotal_Millions">Parameters!$C$87</definedName>
    <definedName name="ConfigRow_WaterConnCost_Millions">Parameters!$C$75</definedName>
    <definedName name="ConfigRow_WC_MillionsPerYear">Parameters!$C$95</definedName>
    <definedName name="CorporateOVerhead_DollarsPerYear">Parameters!$B$42</definedName>
    <definedName name="CPI_fcst_Table">CPI_FX!$S$14:$U$22</definedName>
    <definedName name="CPI_Hist_Ref_Date">Parameters!$B$11</definedName>
    <definedName name="CPI_Historic_table">CPI_FX!$F$24:$G$442</definedName>
    <definedName name="CPIIndex_BRCPDate">Parameters!$B$14</definedName>
    <definedName name="CPIIndex_CurrDate">Parameters!$B$13</definedName>
    <definedName name="CPIIndex_RefDate">Parameters!$B$12</definedName>
    <definedName name="Date_BRCP">Parameters!$B$5</definedName>
    <definedName name="Date_Current">Parameters!$B$4</definedName>
    <definedName name="DistilateCost_DollarsPerGJ">Distillate!$J$11</definedName>
    <definedName name="ElectricalConnectionSelectionList">WP!$C$5:$C$6</definedName>
    <definedName name="ElectricalCOnnectonsCostTable">WP!$C$5:$D$6</definedName>
    <definedName name="FilePath" localSheetId="9">TFlow33!#REF!</definedName>
    <definedName name="FilePath">[1]Transfer!#REF!</definedName>
    <definedName name="FixedCapitalCharge_DollarsPerMW">Parameters!$B$25</definedName>
    <definedName name="FOMFactor_ElecConn">Parameters!$B$32</definedName>
    <definedName name="FOMFactor_GasConn">Parameters!$B$33</definedName>
    <definedName name="FuelStored_Distillate_Hours">Parameters!$B$49</definedName>
    <definedName name="FuelStored_GAs_Hours">Parameters!$B$48</definedName>
    <definedName name="FX_Date">Parameters!$B$8</definedName>
    <definedName name="Fx_Rate">Parameters!$B$9</definedName>
    <definedName name="fx_table">CPI_FX!$A$24:$B$918</definedName>
    <definedName name="Gas_DBNGPTariff_DollarsPerGJPerDay">Gas!$B$74</definedName>
    <definedName name="GasConn_CapexColumn">Gas!$T$37</definedName>
    <definedName name="GasConn_CostRefDate">Gas!$C$4</definedName>
    <definedName name="GasConn_MDQColumn">Gas!$K$37</definedName>
    <definedName name="GasConn_SkinnyLateral_RefPressureMPA">Gas!$B$54</definedName>
    <definedName name="GasConn_SkinnyLateralVelocity">Gas!$B$53</definedName>
    <definedName name="GasConn_Table">Gas!$A$40:$U$66</definedName>
    <definedName name="GasConns_PipelineDistance">Gas!$C$19</definedName>
    <definedName name="GasCost_DollarsPerGJ">Gas!$B$82</definedName>
    <definedName name="IASR_BESS6_RefCapex">IASR!$M$21</definedName>
    <definedName name="IASR_BESS7_RefCapex">IASR!$M$22</definedName>
    <definedName name="IASR_BESS8_RefCapex">IASR!$M$23</definedName>
    <definedName name="IASR_FOMTable_DollarPerkWPerY">IASR!$A$38:$B$47</definedName>
    <definedName name="IASR_InstallationPercentTable">IASR!$A$78:$H$87</definedName>
    <definedName name="IASR_VOMTable_DollarsPerMWh">IASR!$A$60:$B$69</definedName>
    <definedName name="IASRSelectionList">IASR!$A$15:$A$24</definedName>
    <definedName name="IncludeFixedCappitalContributionCHarge">Parameters!$B$24</definedName>
    <definedName name="InsuranceAdjustment_PercentPerYear">Parameters!$B$43</definedName>
    <definedName name="LandCost_DollarsPerHa">Parameters!$B$28</definedName>
    <definedName name="LandgateSiteList">'Land cost'!$I$4:$I$12</definedName>
    <definedName name="LandgateTable">'Land cost'!$I$4:$L$12</definedName>
    <definedName name="NG_FacilitiesCapex_DollarsMillions">Gas!$C$24</definedName>
    <definedName name="NG_FatLateralRechargeHours">Gas!$C$23</definedName>
    <definedName name="NG_FatLateralStorageHours">Gas!$C$22</definedName>
    <definedName name="NG_GJperT">Gas!$B$91</definedName>
    <definedName name="NG_HHVonLHV">Gas!$B$90</definedName>
    <definedName name="NG_LateralPRessureMargin_Bar">Gas!$C$25</definedName>
    <definedName name="OwnersCostPerc_ThermalPlant">Parameters!$B$20</definedName>
    <definedName name="PipelineDistanceTable">Parameters!$A$102:$B$110</definedName>
    <definedName name="PreFIDCost_Millions">Parameters!$B$23</definedName>
    <definedName name="ProportionOfInstallation_Labour">Parameters!$B$29</definedName>
    <definedName name="Rates_DollarsPerHectare">Parameters!$B$46</definedName>
    <definedName name="Rawlinsons_PerthFactor_Labour">Rawlinsons!$H$19</definedName>
    <definedName name="Rawlinsons_PerthFactor_Other">Rawlinsons!$H$20</definedName>
    <definedName name="Rawlinsons_RegionalCostFactorTable">Rawlinsons!$G$8:$I$16</definedName>
    <definedName name="SiteLocation">Parameters!$B$27</definedName>
    <definedName name="SiteSecurity_DollarsPerYear">Parameters!$B$44</definedName>
    <definedName name="TiltFactor">Parameters!$B$18</definedName>
    <definedName name="TUOS_centsPerkWperDay">WP!$G$46</definedName>
    <definedName name="TUOS_ControlSystemServei_centsPerkWPerDay">WP!$B$76</definedName>
    <definedName name="TUOS_Metering_centsPerMeterPerDay">WP!$B$79</definedName>
    <definedName name="WACC">Parameters!$B$16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90" i="9" l="1"/>
  <c r="AB90" i="9"/>
  <c r="AA90" i="9"/>
  <c r="Z90" i="9"/>
  <c r="Y90" i="9"/>
  <c r="X90" i="9"/>
  <c r="W90" i="9"/>
  <c r="V90" i="9"/>
  <c r="U90" i="9"/>
  <c r="T90" i="9"/>
  <c r="S90" i="9"/>
  <c r="R90" i="9"/>
  <c r="Q90" i="9"/>
  <c r="P90" i="9"/>
  <c r="O90" i="9"/>
  <c r="N90" i="9"/>
  <c r="M90" i="9"/>
  <c r="L90" i="9"/>
  <c r="K90" i="9"/>
  <c r="J90" i="9"/>
  <c r="I90" i="9"/>
  <c r="H90" i="9"/>
  <c r="G90" i="9"/>
  <c r="AC91" i="9"/>
  <c r="AB91" i="9"/>
  <c r="AA91" i="9"/>
  <c r="Z91" i="9"/>
  <c r="Y91" i="9"/>
  <c r="X91" i="9"/>
  <c r="W91" i="9"/>
  <c r="V91" i="9"/>
  <c r="U91" i="9"/>
  <c r="T91" i="9"/>
  <c r="S91" i="9"/>
  <c r="R91" i="9"/>
  <c r="Q91" i="9"/>
  <c r="P91" i="9"/>
  <c r="O91" i="9"/>
  <c r="N91" i="9"/>
  <c r="M91" i="9"/>
  <c r="L91" i="9"/>
  <c r="K91" i="9"/>
  <c r="J91" i="9"/>
  <c r="I91" i="9"/>
  <c r="H91" i="9"/>
  <c r="AC87" i="9"/>
  <c r="AB87" i="9"/>
  <c r="AA87" i="9"/>
  <c r="Z87" i="9"/>
  <c r="Y87" i="9"/>
  <c r="X87" i="9"/>
  <c r="W87" i="9"/>
  <c r="V87" i="9"/>
  <c r="U87" i="9"/>
  <c r="T87" i="9"/>
  <c r="S87" i="9"/>
  <c r="R87" i="9"/>
  <c r="Q87" i="9"/>
  <c r="P87" i="9"/>
  <c r="O87" i="9"/>
  <c r="N87" i="9"/>
  <c r="M87" i="9"/>
  <c r="L87" i="9"/>
  <c r="K87" i="9"/>
  <c r="J87" i="9"/>
  <c r="I87" i="9"/>
  <c r="H87" i="9"/>
  <c r="C92" i="9"/>
  <c r="B49" i="9"/>
  <c r="C95" i="9"/>
  <c r="C93" i="9"/>
  <c r="C89" i="9"/>
  <c r="C90" i="9"/>
  <c r="C91" i="9"/>
  <c r="C94" i="9"/>
  <c r="C96" i="9"/>
  <c r="C66" i="9"/>
  <c r="C65" i="9"/>
  <c r="J11" i="16"/>
  <c r="J8" i="16"/>
  <c r="J6" i="16"/>
  <c r="F6" i="16"/>
  <c r="F7" i="16"/>
  <c r="F8" i="16"/>
  <c r="F9" i="16"/>
  <c r="F10" i="16"/>
  <c r="F11" i="16"/>
  <c r="F12" i="16"/>
  <c r="F13" i="16"/>
  <c r="F14" i="16"/>
  <c r="F15" i="16"/>
  <c r="F16" i="16"/>
  <c r="F17" i="16"/>
  <c r="F18" i="16"/>
  <c r="F19" i="16"/>
  <c r="F20" i="16"/>
  <c r="F21" i="16"/>
  <c r="F22" i="16"/>
  <c r="F23" i="16"/>
  <c r="F24" i="16"/>
  <c r="F25" i="16"/>
  <c r="F26" i="16"/>
  <c r="F27" i="16"/>
  <c r="F28" i="16"/>
  <c r="B46" i="9"/>
  <c r="B40" i="9"/>
  <c r="C78" i="9"/>
  <c r="K37" i="15"/>
  <c r="C79" i="9"/>
  <c r="C77" i="9"/>
  <c r="AC86" i="9"/>
  <c r="AB86" i="9"/>
  <c r="AA86" i="9"/>
  <c r="Z86" i="9"/>
  <c r="Y86" i="9"/>
  <c r="X86" i="9"/>
  <c r="W86" i="9"/>
  <c r="V86" i="9"/>
  <c r="U86" i="9"/>
  <c r="T86" i="9"/>
  <c r="S86" i="9"/>
  <c r="R86" i="9"/>
  <c r="Q86" i="9"/>
  <c r="P86" i="9"/>
  <c r="O86" i="9"/>
  <c r="N86" i="9"/>
  <c r="M86" i="9"/>
  <c r="L86" i="9"/>
  <c r="K86" i="9"/>
  <c r="J86" i="9"/>
  <c r="I86" i="9"/>
  <c r="H86" i="9"/>
  <c r="G86" i="9"/>
  <c r="C83" i="9"/>
  <c r="C84" i="9"/>
  <c r="C85" i="9"/>
  <c r="C86" i="9"/>
  <c r="C87" i="9"/>
  <c r="C88" i="9"/>
  <c r="B38" i="9"/>
  <c r="B37" i="9"/>
  <c r="B36" i="9"/>
  <c r="G43" i="14"/>
  <c r="G44" i="14"/>
  <c r="G45" i="14"/>
  <c r="G42" i="14"/>
  <c r="G46" i="14" s="1"/>
  <c r="B28" i="9"/>
  <c r="C15" i="15" s="1"/>
  <c r="B110" i="9"/>
  <c r="C19" i="15" s="1"/>
  <c r="I16" i="7"/>
  <c r="L12" i="12"/>
  <c r="K12" i="12"/>
  <c r="J12" i="12"/>
  <c r="AC53" i="8"/>
  <c r="AB53" i="8"/>
  <c r="AA53" i="8"/>
  <c r="AC73" i="9"/>
  <c r="AB73" i="9"/>
  <c r="AA73" i="9"/>
  <c r="Z73" i="9"/>
  <c r="Y73" i="9"/>
  <c r="X73" i="9"/>
  <c r="W73" i="9"/>
  <c r="V73" i="9"/>
  <c r="U73" i="9"/>
  <c r="T73" i="9"/>
  <c r="S73" i="9"/>
  <c r="R73" i="9"/>
  <c r="Q73" i="9"/>
  <c r="P73" i="9"/>
  <c r="O73" i="9"/>
  <c r="N73" i="9"/>
  <c r="M73" i="9"/>
  <c r="L73" i="9"/>
  <c r="K73" i="9"/>
  <c r="J73" i="9"/>
  <c r="I73" i="9"/>
  <c r="H73" i="9"/>
  <c r="G73" i="9"/>
  <c r="T37" i="15"/>
  <c r="R66" i="15"/>
  <c r="R65" i="15"/>
  <c r="R64" i="15"/>
  <c r="R63" i="15"/>
  <c r="R62" i="15"/>
  <c r="R61" i="15"/>
  <c r="R60" i="15"/>
  <c r="R59" i="15"/>
  <c r="R58" i="15"/>
  <c r="R57" i="15"/>
  <c r="R49" i="15"/>
  <c r="R48" i="15"/>
  <c r="R47" i="15"/>
  <c r="R46" i="15"/>
  <c r="R45" i="15"/>
  <c r="R44" i="15"/>
  <c r="R43" i="15"/>
  <c r="R42" i="15"/>
  <c r="R41" i="15"/>
  <c r="R40" i="15"/>
  <c r="Z64" i="9"/>
  <c r="Y64" i="9"/>
  <c r="X64" i="9"/>
  <c r="W64" i="9"/>
  <c r="V64" i="9"/>
  <c r="U64" i="9"/>
  <c r="T64" i="9"/>
  <c r="S64" i="9"/>
  <c r="R64" i="9"/>
  <c r="Q64" i="9"/>
  <c r="P64" i="9"/>
  <c r="O64" i="9"/>
  <c r="N64" i="9"/>
  <c r="M64" i="9"/>
  <c r="L64" i="9"/>
  <c r="K64" i="9"/>
  <c r="J64" i="9"/>
  <c r="I64" i="9"/>
  <c r="H64" i="9"/>
  <c r="G64" i="9"/>
  <c r="C64" i="9"/>
  <c r="G39" i="15"/>
  <c r="D12" i="15"/>
  <c r="D8" i="15"/>
  <c r="C5" i="15"/>
  <c r="A5" i="15"/>
  <c r="B122" i="15"/>
  <c r="B123" i="15" s="1"/>
  <c r="C100" i="15"/>
  <c r="C101" i="15" s="1"/>
  <c r="E97" i="15"/>
  <c r="Z71" i="9"/>
  <c r="Y71" i="9"/>
  <c r="X71" i="9"/>
  <c r="W71" i="9"/>
  <c r="V71" i="9"/>
  <c r="U71" i="9"/>
  <c r="T71" i="9"/>
  <c r="S71" i="9"/>
  <c r="R71" i="9"/>
  <c r="Q71" i="9"/>
  <c r="P71" i="9"/>
  <c r="O71" i="9"/>
  <c r="N71" i="9"/>
  <c r="M71" i="9"/>
  <c r="L71" i="9"/>
  <c r="K71" i="9"/>
  <c r="J71" i="9"/>
  <c r="I71" i="9"/>
  <c r="H71" i="9"/>
  <c r="G71" i="9"/>
  <c r="AA71" i="9"/>
  <c r="AB71" i="9"/>
  <c r="D6" i="14"/>
  <c r="Z32" i="5"/>
  <c r="Y32" i="5"/>
  <c r="Y33" i="5" s="1"/>
  <c r="X32" i="5"/>
  <c r="X33" i="5" s="1"/>
  <c r="W32" i="5"/>
  <c r="W33" i="5" s="1"/>
  <c r="V32" i="5"/>
  <c r="V33" i="5" s="1"/>
  <c r="V34" i="5" s="1"/>
  <c r="V15" i="8" s="1"/>
  <c r="U32" i="5"/>
  <c r="U33" i="5" s="1"/>
  <c r="U34" i="5" s="1"/>
  <c r="U15" i="8" s="1"/>
  <c r="T32" i="5"/>
  <c r="T33" i="5" s="1"/>
  <c r="T34" i="5" s="1"/>
  <c r="T15" i="8" s="1"/>
  <c r="S32" i="5"/>
  <c r="S33" i="5" s="1"/>
  <c r="R32" i="5"/>
  <c r="R33" i="5" s="1"/>
  <c r="Q32" i="5"/>
  <c r="Q33" i="5" s="1"/>
  <c r="P32" i="5"/>
  <c r="P33" i="5" s="1"/>
  <c r="P34" i="5" s="1"/>
  <c r="P15" i="8" s="1"/>
  <c r="O32" i="5"/>
  <c r="O33" i="5" s="1"/>
  <c r="O34" i="5" s="1"/>
  <c r="O15" i="8" s="1"/>
  <c r="N32" i="5"/>
  <c r="N33" i="5" s="1"/>
  <c r="N34" i="5" s="1"/>
  <c r="N15" i="8" s="1"/>
  <c r="M32" i="5"/>
  <c r="M33" i="5" s="1"/>
  <c r="M34" i="5" s="1"/>
  <c r="M15" i="8" s="1"/>
  <c r="L32" i="5"/>
  <c r="L33" i="5" s="1"/>
  <c r="L34" i="5" s="1"/>
  <c r="L15" i="8" s="1"/>
  <c r="K32" i="5"/>
  <c r="K33" i="5" s="1"/>
  <c r="K34" i="5" s="1"/>
  <c r="K15" i="8" s="1"/>
  <c r="J32" i="5"/>
  <c r="J33" i="5" s="1"/>
  <c r="J34" i="5" s="1"/>
  <c r="J15" i="8" s="1"/>
  <c r="I32" i="5"/>
  <c r="I33" i="5" s="1"/>
  <c r="I34" i="5" s="1"/>
  <c r="I15" i="8" s="1"/>
  <c r="H32" i="5"/>
  <c r="H33" i="5" s="1"/>
  <c r="H34" i="5" s="1"/>
  <c r="H15" i="8" s="1"/>
  <c r="G32" i="5"/>
  <c r="G33" i="5" s="1"/>
  <c r="G34" i="5" s="1"/>
  <c r="G15" i="8" s="1"/>
  <c r="Z31" i="5"/>
  <c r="Y31" i="5"/>
  <c r="X31" i="5"/>
  <c r="W31" i="5"/>
  <c r="V31" i="5"/>
  <c r="U31" i="5"/>
  <c r="T31" i="5"/>
  <c r="S31" i="5"/>
  <c r="R31" i="5"/>
  <c r="Q31" i="5"/>
  <c r="P31" i="5"/>
  <c r="O31" i="5"/>
  <c r="N31" i="5"/>
  <c r="M31" i="5"/>
  <c r="L31" i="5"/>
  <c r="K31" i="5"/>
  <c r="J31" i="5"/>
  <c r="I31" i="5"/>
  <c r="H31" i="5"/>
  <c r="G31" i="5"/>
  <c r="C55" i="8"/>
  <c r="C54" i="8"/>
  <c r="V81" i="9"/>
  <c r="U81" i="9"/>
  <c r="AA81" i="9"/>
  <c r="AA80" i="9"/>
  <c r="C49" i="8"/>
  <c r="A50" i="8"/>
  <c r="C68" i="9"/>
  <c r="C69" i="9"/>
  <c r="H20" i="7"/>
  <c r="H19" i="7"/>
  <c r="I9" i="7"/>
  <c r="I10" i="7"/>
  <c r="I11" i="7"/>
  <c r="I12" i="7"/>
  <c r="I13" i="7"/>
  <c r="I14" i="7"/>
  <c r="I15" i="7"/>
  <c r="I8" i="7"/>
  <c r="AC67" i="9"/>
  <c r="AC68" i="9" s="1"/>
  <c r="AB67" i="9"/>
  <c r="AB68" i="9" s="1"/>
  <c r="AA67" i="9"/>
  <c r="AA68" i="9" s="1"/>
  <c r="Z67" i="9"/>
  <c r="Z68" i="9" s="1"/>
  <c r="Y67" i="9"/>
  <c r="Y68" i="9" s="1"/>
  <c r="X67" i="9"/>
  <c r="X68" i="9" s="1"/>
  <c r="W67" i="9"/>
  <c r="W68" i="9" s="1"/>
  <c r="V67" i="9"/>
  <c r="V68" i="9" s="1"/>
  <c r="U67" i="9"/>
  <c r="U68" i="9" s="1"/>
  <c r="T67" i="9"/>
  <c r="T68" i="9" s="1"/>
  <c r="S67" i="9"/>
  <c r="S68" i="9" s="1"/>
  <c r="R67" i="9"/>
  <c r="R68" i="9" s="1"/>
  <c r="Q67" i="9"/>
  <c r="Q68" i="9" s="1"/>
  <c r="P67" i="9"/>
  <c r="P68" i="9" s="1"/>
  <c r="O67" i="9"/>
  <c r="O68" i="9" s="1"/>
  <c r="N67" i="9"/>
  <c r="N68" i="9" s="1"/>
  <c r="M67" i="9"/>
  <c r="M68" i="9" s="1"/>
  <c r="L67" i="9"/>
  <c r="L68" i="9" s="1"/>
  <c r="K67" i="9"/>
  <c r="K68" i="9" s="1"/>
  <c r="J67" i="9"/>
  <c r="J68" i="9" s="1"/>
  <c r="I67" i="9"/>
  <c r="I68" i="9" s="1"/>
  <c r="H67" i="9"/>
  <c r="H68" i="9" s="1"/>
  <c r="G67" i="9"/>
  <c r="G68" i="9" s="1"/>
  <c r="C67" i="9"/>
  <c r="C70" i="9"/>
  <c r="E100" i="4"/>
  <c r="H80" i="4"/>
  <c r="M17" i="4"/>
  <c r="C57" i="9"/>
  <c r="C58" i="9"/>
  <c r="C59" i="9"/>
  <c r="C60" i="9"/>
  <c r="C18" i="8"/>
  <c r="AC21" i="8"/>
  <c r="AB21" i="8"/>
  <c r="AA21" i="8"/>
  <c r="Z21" i="8"/>
  <c r="Y21" i="8"/>
  <c r="X21" i="8"/>
  <c r="W21" i="8"/>
  <c r="V21" i="8"/>
  <c r="U21" i="8"/>
  <c r="T21" i="8"/>
  <c r="S21" i="8"/>
  <c r="R21" i="8"/>
  <c r="Q21" i="8"/>
  <c r="P21" i="8"/>
  <c r="O21" i="8"/>
  <c r="N21" i="8"/>
  <c r="M21" i="8"/>
  <c r="L21" i="8"/>
  <c r="K21" i="8"/>
  <c r="J21" i="8"/>
  <c r="I21" i="8"/>
  <c r="H21" i="8"/>
  <c r="C72" i="9"/>
  <c r="C73" i="9"/>
  <c r="C74" i="9"/>
  <c r="C75" i="9"/>
  <c r="C76" i="9"/>
  <c r="C80" i="9"/>
  <c r="C81" i="9"/>
  <c r="C82" i="9"/>
  <c r="C61" i="9"/>
  <c r="C62" i="9"/>
  <c r="C63" i="9"/>
  <c r="C71" i="9"/>
  <c r="C56" i="9"/>
  <c r="G21" i="8"/>
  <c r="Z63" i="9"/>
  <c r="Y63" i="9"/>
  <c r="X63" i="9"/>
  <c r="W63" i="9"/>
  <c r="V63" i="9"/>
  <c r="U63" i="9"/>
  <c r="T63" i="9"/>
  <c r="S63" i="9"/>
  <c r="R63" i="9"/>
  <c r="Q63" i="9"/>
  <c r="P63" i="9"/>
  <c r="O63" i="9"/>
  <c r="N63" i="9"/>
  <c r="M63" i="9"/>
  <c r="L63" i="9"/>
  <c r="K63" i="9"/>
  <c r="J63" i="9"/>
  <c r="I63" i="9"/>
  <c r="H63" i="9"/>
  <c r="G63" i="9"/>
  <c r="Z61" i="9"/>
  <c r="Y61" i="9"/>
  <c r="X61" i="9"/>
  <c r="W61" i="9"/>
  <c r="V61" i="9"/>
  <c r="U61" i="9"/>
  <c r="T61" i="9"/>
  <c r="S61" i="9"/>
  <c r="R61" i="9"/>
  <c r="Q61" i="9"/>
  <c r="P61" i="9"/>
  <c r="O61" i="9"/>
  <c r="N61" i="9"/>
  <c r="M61" i="9"/>
  <c r="L61" i="9"/>
  <c r="K61" i="9"/>
  <c r="J61" i="9"/>
  <c r="I61" i="9"/>
  <c r="H61" i="9"/>
  <c r="G61" i="9"/>
  <c r="AC61" i="9"/>
  <c r="AB61" i="9"/>
  <c r="AA61" i="9"/>
  <c r="AC56" i="9"/>
  <c r="AC77" i="9" s="1"/>
  <c r="AC78" i="9" s="1"/>
  <c r="AB56" i="9"/>
  <c r="AB77" i="9" s="1"/>
  <c r="AB78" i="9" s="1"/>
  <c r="AA56" i="9"/>
  <c r="AA77" i="9" s="1"/>
  <c r="AA78" i="9" s="1"/>
  <c r="Z56" i="9"/>
  <c r="Y56" i="9"/>
  <c r="Y77" i="9" s="1"/>
  <c r="Y78" i="9" s="1"/>
  <c r="X56" i="9"/>
  <c r="W56" i="9"/>
  <c r="W77" i="9" s="1"/>
  <c r="W78" i="9" s="1"/>
  <c r="V56" i="9"/>
  <c r="U56" i="9"/>
  <c r="U77" i="9" s="1"/>
  <c r="U78" i="9" s="1"/>
  <c r="T56" i="9"/>
  <c r="S56" i="9"/>
  <c r="S77" i="9" s="1"/>
  <c r="S78" i="9" s="1"/>
  <c r="R56" i="9"/>
  <c r="Q56" i="9"/>
  <c r="Q77" i="9" s="1"/>
  <c r="Q78" i="9" s="1"/>
  <c r="P56" i="9"/>
  <c r="O56" i="9"/>
  <c r="O77" i="9" s="1"/>
  <c r="O78" i="9" s="1"/>
  <c r="N56" i="9"/>
  <c r="N77" i="9" s="1"/>
  <c r="N78" i="9" s="1"/>
  <c r="M56" i="9"/>
  <c r="L56" i="9"/>
  <c r="K56" i="9"/>
  <c r="K77" i="9" s="1"/>
  <c r="K78" i="9" s="1"/>
  <c r="J56" i="9"/>
  <c r="I56" i="9"/>
  <c r="I77" i="9" s="1"/>
  <c r="I78" i="9" s="1"/>
  <c r="H56" i="9"/>
  <c r="G56" i="9"/>
  <c r="G77" i="9" s="1"/>
  <c r="G21" i="4"/>
  <c r="H21" i="4"/>
  <c r="I21" i="4"/>
  <c r="J21" i="4"/>
  <c r="K21" i="4"/>
  <c r="G22" i="4"/>
  <c r="H22" i="4"/>
  <c r="I22" i="4"/>
  <c r="J22" i="4"/>
  <c r="K22" i="4"/>
  <c r="F22" i="4"/>
  <c r="F21" i="4"/>
  <c r="B14" i="9"/>
  <c r="B13" i="9"/>
  <c r="B11" i="9"/>
  <c r="B12" i="9" s="1"/>
  <c r="B9" i="9"/>
  <c r="U16" i="10"/>
  <c r="U17" i="10"/>
  <c r="U18" i="10" s="1"/>
  <c r="U19" i="10" s="1"/>
  <c r="U20" i="10" s="1"/>
  <c r="U21" i="10" s="1"/>
  <c r="U22" i="10" s="1"/>
  <c r="U15" i="10"/>
  <c r="U14" i="10"/>
  <c r="AC8" i="8"/>
  <c r="AB8" i="8"/>
  <c r="AA8" i="8"/>
  <c r="Z8" i="8"/>
  <c r="Z53" i="8" s="1"/>
  <c r="Y8" i="8"/>
  <c r="Y53" i="8" s="1"/>
  <c r="X8" i="8"/>
  <c r="X53" i="8" s="1"/>
  <c r="W8" i="8"/>
  <c r="W53" i="8" s="1"/>
  <c r="V8" i="8"/>
  <c r="V53" i="8" s="1"/>
  <c r="U8" i="8"/>
  <c r="U53" i="8" s="1"/>
  <c r="T8" i="8"/>
  <c r="T53" i="8" s="1"/>
  <c r="S8" i="8"/>
  <c r="S53" i="8" s="1"/>
  <c r="R8" i="8"/>
  <c r="R53" i="8" s="1"/>
  <c r="Q8" i="8"/>
  <c r="Q53" i="8" s="1"/>
  <c r="P8" i="8"/>
  <c r="P53" i="8" s="1"/>
  <c r="O8" i="8"/>
  <c r="O53" i="8" s="1"/>
  <c r="N8" i="8"/>
  <c r="N53" i="8" s="1"/>
  <c r="M8" i="8"/>
  <c r="M53" i="8" s="1"/>
  <c r="L8" i="8"/>
  <c r="L53" i="8" s="1"/>
  <c r="K8" i="8"/>
  <c r="K53" i="8" s="1"/>
  <c r="J8" i="8"/>
  <c r="J53" i="8" s="1"/>
  <c r="I8" i="8"/>
  <c r="I53" i="8" s="1"/>
  <c r="H8" i="8"/>
  <c r="H53" i="8" s="1"/>
  <c r="G8" i="8"/>
  <c r="G53" i="8" s="1"/>
  <c r="C104" i="4"/>
  <c r="D104" i="4"/>
  <c r="E104" i="4"/>
  <c r="F104" i="4"/>
  <c r="G104" i="4"/>
  <c r="C105" i="4"/>
  <c r="D105" i="4"/>
  <c r="E105" i="4"/>
  <c r="F105" i="4"/>
  <c r="G105" i="4"/>
  <c r="C84" i="4"/>
  <c r="D84" i="4"/>
  <c r="E84" i="4"/>
  <c r="C85" i="4"/>
  <c r="D85" i="4"/>
  <c r="E85" i="4"/>
  <c r="B105" i="4"/>
  <c r="B104" i="4"/>
  <c r="B85" i="4"/>
  <c r="B84" i="4"/>
  <c r="B67" i="4"/>
  <c r="B66" i="4"/>
  <c r="B45" i="4"/>
  <c r="B44" i="4"/>
  <c r="Z37" i="5"/>
  <c r="Y37" i="5"/>
  <c r="X37" i="5"/>
  <c r="W37" i="5"/>
  <c r="V37" i="5"/>
  <c r="U37" i="5"/>
  <c r="T37" i="5"/>
  <c r="S37" i="5"/>
  <c r="R37" i="5"/>
  <c r="Q37" i="5"/>
  <c r="P37" i="5"/>
  <c r="O37" i="5"/>
  <c r="N37" i="5"/>
  <c r="M37" i="5"/>
  <c r="L37" i="5"/>
  <c r="K37" i="5"/>
  <c r="J37" i="5"/>
  <c r="I37" i="5"/>
  <c r="H37" i="5"/>
  <c r="G37" i="5"/>
  <c r="M16" i="4"/>
  <c r="M18" i="4"/>
  <c r="M19" i="4"/>
  <c r="M20" i="4"/>
  <c r="M23" i="4"/>
  <c r="AC10" i="8" s="1"/>
  <c r="M24" i="4"/>
  <c r="M15" i="4"/>
  <c r="H79" i="4"/>
  <c r="H81" i="4"/>
  <c r="H82" i="4"/>
  <c r="H83" i="4"/>
  <c r="H86" i="4"/>
  <c r="H87" i="4"/>
  <c r="H78" i="4"/>
  <c r="J51" i="7"/>
  <c r="J52" i="7"/>
  <c r="J53" i="7"/>
  <c r="J54" i="7"/>
  <c r="J55" i="7"/>
  <c r="J56" i="7"/>
  <c r="J57" i="7"/>
  <c r="J58" i="7"/>
  <c r="J59" i="7"/>
  <c r="J60" i="7"/>
  <c r="J61" i="7"/>
  <c r="J62" i="7"/>
  <c r="J63" i="7"/>
  <c r="J64" i="7"/>
  <c r="J65" i="7"/>
  <c r="J50" i="7"/>
  <c r="E39" i="7"/>
  <c r="E44" i="7"/>
  <c r="D34" i="7"/>
  <c r="E34" i="7" s="1"/>
  <c r="C34" i="7"/>
  <c r="Z65" i="9" l="1"/>
  <c r="Y65" i="9"/>
  <c r="X65" i="9"/>
  <c r="W65" i="9"/>
  <c r="V65" i="9"/>
  <c r="U65" i="9"/>
  <c r="T65" i="9"/>
  <c r="S65" i="9"/>
  <c r="R65" i="9"/>
  <c r="Q65" i="9"/>
  <c r="P65" i="9"/>
  <c r="O65" i="9"/>
  <c r="N65" i="9"/>
  <c r="M65" i="9"/>
  <c r="L65" i="9"/>
  <c r="K65" i="9"/>
  <c r="J65" i="9"/>
  <c r="I65" i="9"/>
  <c r="H65" i="9"/>
  <c r="G65" i="9"/>
  <c r="G91" i="9" s="1"/>
  <c r="G78" i="9"/>
  <c r="Z85" i="9"/>
  <c r="Z84" i="9"/>
  <c r="Y85" i="9"/>
  <c r="Y84" i="9"/>
  <c r="X85" i="9"/>
  <c r="X84" i="9"/>
  <c r="W85" i="9"/>
  <c r="W84" i="9"/>
  <c r="V85" i="9"/>
  <c r="V84" i="9"/>
  <c r="U85" i="9"/>
  <c r="U84" i="9"/>
  <c r="T84" i="9"/>
  <c r="T85" i="9"/>
  <c r="S84" i="9"/>
  <c r="S85" i="9"/>
  <c r="R85" i="9"/>
  <c r="R84" i="9"/>
  <c r="Q85" i="9"/>
  <c r="Q84" i="9"/>
  <c r="P85" i="9"/>
  <c r="P84" i="9"/>
  <c r="O85" i="9"/>
  <c r="O84" i="9"/>
  <c r="N85" i="9"/>
  <c r="N84" i="9"/>
  <c r="M85" i="9"/>
  <c r="M84" i="9"/>
  <c r="L85" i="9"/>
  <c r="L84" i="9"/>
  <c r="K85" i="9"/>
  <c r="K84" i="9"/>
  <c r="J85" i="9"/>
  <c r="J84" i="9"/>
  <c r="I85" i="9"/>
  <c r="I84" i="9"/>
  <c r="H85" i="9"/>
  <c r="H84" i="9"/>
  <c r="G85" i="9"/>
  <c r="G84" i="9"/>
  <c r="G87" i="9" s="1"/>
  <c r="AC84" i="9"/>
  <c r="AC85" i="9"/>
  <c r="AB85" i="9"/>
  <c r="AB84" i="9"/>
  <c r="AA84" i="9"/>
  <c r="AA85" i="9"/>
  <c r="B66" i="15"/>
  <c r="C66" i="15"/>
  <c r="D66" i="15" s="1"/>
  <c r="C65" i="15"/>
  <c r="D65" i="15" s="1"/>
  <c r="C64" i="15"/>
  <c r="D64" i="15" s="1"/>
  <c r="B64" i="15"/>
  <c r="C63" i="15"/>
  <c r="D63" i="15" s="1"/>
  <c r="B63" i="15"/>
  <c r="C62" i="15"/>
  <c r="D62" i="15" s="1"/>
  <c r="B62" i="15"/>
  <c r="C61" i="15"/>
  <c r="D61" i="15" s="1"/>
  <c r="B61" i="15"/>
  <c r="B60" i="15"/>
  <c r="C59" i="15"/>
  <c r="D59" i="15" s="1"/>
  <c r="B59" i="15"/>
  <c r="C58" i="15"/>
  <c r="D58" i="15" s="1"/>
  <c r="B58" i="15"/>
  <c r="C57" i="15"/>
  <c r="D57" i="15" s="1"/>
  <c r="B57" i="15"/>
  <c r="C49" i="15"/>
  <c r="D49" i="15" s="1"/>
  <c r="B49" i="15"/>
  <c r="C48" i="15"/>
  <c r="D48" i="15" s="1"/>
  <c r="L47" i="15"/>
  <c r="M47" i="15" s="1"/>
  <c r="B47" i="15"/>
  <c r="B46" i="15"/>
  <c r="C45" i="15"/>
  <c r="D45" i="15" s="1"/>
  <c r="B45" i="15"/>
  <c r="C44" i="15"/>
  <c r="D44" i="15" s="1"/>
  <c r="L43" i="15"/>
  <c r="M43" i="15" s="1"/>
  <c r="B43" i="15"/>
  <c r="C42" i="15"/>
  <c r="D42" i="15" s="1"/>
  <c r="L41" i="15"/>
  <c r="M41" i="15" s="1"/>
  <c r="B41" i="15"/>
  <c r="B65" i="15"/>
  <c r="L46" i="15"/>
  <c r="M46" i="15" s="1"/>
  <c r="C60" i="15"/>
  <c r="D60" i="15" s="1"/>
  <c r="L49" i="15"/>
  <c r="M49" i="15" s="1"/>
  <c r="L48" i="15"/>
  <c r="M48" i="15" s="1"/>
  <c r="B48" i="15"/>
  <c r="C47" i="15"/>
  <c r="D47" i="15" s="1"/>
  <c r="C46" i="15"/>
  <c r="D46" i="15" s="1"/>
  <c r="L45" i="15"/>
  <c r="M45" i="15" s="1"/>
  <c r="L44" i="15"/>
  <c r="M44" i="15" s="1"/>
  <c r="B44" i="15"/>
  <c r="C43" i="15"/>
  <c r="D43" i="15" s="1"/>
  <c r="L42" i="15"/>
  <c r="M42" i="15" s="1"/>
  <c r="B42" i="15"/>
  <c r="C41" i="15"/>
  <c r="D41" i="15" s="1"/>
  <c r="L40" i="15"/>
  <c r="M40" i="15" s="1"/>
  <c r="S49" i="15"/>
  <c r="S47" i="15"/>
  <c r="S45" i="15"/>
  <c r="S44" i="15"/>
  <c r="S43" i="15"/>
  <c r="S42" i="15"/>
  <c r="S46" i="15"/>
  <c r="S41" i="15"/>
  <c r="S48" i="15"/>
  <c r="N66" i="15"/>
  <c r="N65" i="15"/>
  <c r="N63" i="15"/>
  <c r="N62" i="15"/>
  <c r="N61" i="15"/>
  <c r="N59" i="15"/>
  <c r="N58" i="15"/>
  <c r="N64" i="15"/>
  <c r="N60" i="15"/>
  <c r="N57" i="15"/>
  <c r="C131" i="15"/>
  <c r="D131" i="15" s="1"/>
  <c r="C130" i="15"/>
  <c r="D130" i="15" s="1"/>
  <c r="C129" i="15"/>
  <c r="D129" i="15" s="1"/>
  <c r="C128" i="15"/>
  <c r="D128" i="15" s="1"/>
  <c r="C127" i="15"/>
  <c r="D127" i="15" s="1"/>
  <c r="C40" i="15"/>
  <c r="D40" i="15" s="1"/>
  <c r="B40" i="15"/>
  <c r="AC12" i="8"/>
  <c r="AC23" i="8" s="1"/>
  <c r="AB12" i="8"/>
  <c r="AB23" i="8" s="1"/>
  <c r="AA12" i="8"/>
  <c r="AA23" i="8" s="1"/>
  <c r="Z12" i="8"/>
  <c r="Z23" i="8" s="1"/>
  <c r="Y12" i="8"/>
  <c r="Y23" i="8" s="1"/>
  <c r="X12" i="8"/>
  <c r="X23" i="8" s="1"/>
  <c r="W12" i="8"/>
  <c r="W23" i="8" s="1"/>
  <c r="V12" i="8"/>
  <c r="V23" i="8" s="1"/>
  <c r="U12" i="8"/>
  <c r="U23" i="8" s="1"/>
  <c r="T12" i="8"/>
  <c r="T23" i="8" s="1"/>
  <c r="S12" i="8"/>
  <c r="S23" i="8" s="1"/>
  <c r="R12" i="8"/>
  <c r="R23" i="8" s="1"/>
  <c r="Q12" i="8"/>
  <c r="Q23" i="8" s="1"/>
  <c r="P12" i="8"/>
  <c r="P23" i="8" s="1"/>
  <c r="O12" i="8"/>
  <c r="O23" i="8" s="1"/>
  <c r="N12" i="8"/>
  <c r="N23" i="8" s="1"/>
  <c r="M12" i="8"/>
  <c r="M23" i="8" s="1"/>
  <c r="L12" i="8"/>
  <c r="L23" i="8" s="1"/>
  <c r="K12" i="8"/>
  <c r="K23" i="8" s="1"/>
  <c r="J12" i="8"/>
  <c r="J23" i="8" s="1"/>
  <c r="I12" i="8"/>
  <c r="I23" i="8" s="1"/>
  <c r="H12" i="8"/>
  <c r="H23" i="8" s="1"/>
  <c r="G12" i="8"/>
  <c r="G23" i="8" s="1"/>
  <c r="S40" i="15"/>
  <c r="E102" i="15"/>
  <c r="C102" i="15" s="1"/>
  <c r="C105" i="15" s="1"/>
  <c r="C107" i="15" s="1"/>
  <c r="C12" i="15"/>
  <c r="C8" i="15"/>
  <c r="T9" i="8"/>
  <c r="T37" i="8" s="1"/>
  <c r="AC9" i="8"/>
  <c r="AC37" i="8" s="1"/>
  <c r="AB9" i="8"/>
  <c r="AB37" i="8" s="1"/>
  <c r="W9" i="8"/>
  <c r="W37" i="8" s="1"/>
  <c r="U9" i="8"/>
  <c r="U37" i="8" s="1"/>
  <c r="O9" i="8"/>
  <c r="O37" i="8" s="1"/>
  <c r="K9" i="8"/>
  <c r="K37" i="8" s="1"/>
  <c r="V9" i="8"/>
  <c r="V37" i="8" s="1"/>
  <c r="Y9" i="8"/>
  <c r="Y37" i="8" s="1"/>
  <c r="S9" i="8"/>
  <c r="S37" i="8" s="1"/>
  <c r="J9" i="8"/>
  <c r="J37" i="8" s="1"/>
  <c r="AA9" i="8"/>
  <c r="AA37" i="8" s="1"/>
  <c r="P9" i="8"/>
  <c r="P37" i="8" s="1"/>
  <c r="L9" i="8"/>
  <c r="L37" i="8" s="1"/>
  <c r="I9" i="8"/>
  <c r="I37" i="8" s="1"/>
  <c r="Z9" i="8"/>
  <c r="Z37" i="8" s="1"/>
  <c r="R9" i="8"/>
  <c r="R37" i="8" s="1"/>
  <c r="N9" i="8"/>
  <c r="N37" i="8" s="1"/>
  <c r="H9" i="8"/>
  <c r="H37" i="8" s="1"/>
  <c r="X9" i="8"/>
  <c r="X37" i="8" s="1"/>
  <c r="Q9" i="8"/>
  <c r="Q37" i="8" s="1"/>
  <c r="M9" i="8"/>
  <c r="M37" i="8" s="1"/>
  <c r="G9" i="8"/>
  <c r="G37" i="8" s="1"/>
  <c r="M22" i="4"/>
  <c r="AB10" i="8" s="1"/>
  <c r="M21" i="4"/>
  <c r="AA10" i="8" s="1"/>
  <c r="AC26" i="8"/>
  <c r="AB26" i="8"/>
  <c r="AA26" i="8"/>
  <c r="Z26" i="8"/>
  <c r="Y26" i="8"/>
  <c r="X26" i="8"/>
  <c r="W26" i="8"/>
  <c r="AA25" i="8"/>
  <c r="V26" i="8"/>
  <c r="U26" i="8"/>
  <c r="T26" i="8"/>
  <c r="S26" i="8"/>
  <c r="R26" i="8"/>
  <c r="Q26" i="8"/>
  <c r="P26" i="8"/>
  <c r="O26" i="8"/>
  <c r="N26" i="8"/>
  <c r="M26" i="8"/>
  <c r="L26" i="8"/>
  <c r="K26" i="8"/>
  <c r="J26" i="8"/>
  <c r="I26" i="8"/>
  <c r="H26" i="8"/>
  <c r="AC22" i="8"/>
  <c r="G26" i="8"/>
  <c r="AC25" i="8"/>
  <c r="AB25" i="8"/>
  <c r="AC11" i="8"/>
  <c r="AB11" i="8"/>
  <c r="AA11" i="8"/>
  <c r="W11" i="8"/>
  <c r="U11" i="8"/>
  <c r="S11" i="8"/>
  <c r="Q11" i="8"/>
  <c r="O11" i="8"/>
  <c r="N11" i="8"/>
  <c r="L11" i="8"/>
  <c r="J11" i="8"/>
  <c r="H11" i="8"/>
  <c r="G22" i="8"/>
  <c r="I22" i="8"/>
  <c r="K22" i="8"/>
  <c r="L22" i="8"/>
  <c r="N22" i="8"/>
  <c r="P22" i="8"/>
  <c r="R22" i="8"/>
  <c r="T22" i="8"/>
  <c r="V22" i="8"/>
  <c r="X22" i="8"/>
  <c r="Z22" i="8"/>
  <c r="AB22" i="8"/>
  <c r="Z11" i="8"/>
  <c r="Y11" i="8"/>
  <c r="X11" i="8"/>
  <c r="V11" i="8"/>
  <c r="T11" i="8"/>
  <c r="R11" i="8"/>
  <c r="P11" i="8"/>
  <c r="M11" i="8"/>
  <c r="K11" i="8"/>
  <c r="I11" i="8"/>
  <c r="G11" i="8"/>
  <c r="H22" i="8"/>
  <c r="J22" i="8"/>
  <c r="M22" i="8"/>
  <c r="O22" i="8"/>
  <c r="Q22" i="8"/>
  <c r="S22" i="8"/>
  <c r="U22" i="8"/>
  <c r="W22" i="8"/>
  <c r="Y22" i="8"/>
  <c r="AA22" i="8"/>
  <c r="K16" i="8"/>
  <c r="K17" i="8" s="1"/>
  <c r="K18" i="8" s="1"/>
  <c r="I16" i="8"/>
  <c r="I17" i="8" s="1"/>
  <c r="I18" i="8" s="1"/>
  <c r="J16" i="8"/>
  <c r="J17" i="8" s="1"/>
  <c r="J18" i="8" s="1"/>
  <c r="H16" i="8"/>
  <c r="H17" i="8" s="1"/>
  <c r="H18" i="8" s="1"/>
  <c r="X34" i="5"/>
  <c r="X15" i="8" s="1"/>
  <c r="X16" i="8" s="1"/>
  <c r="X17" i="8" s="1"/>
  <c r="X18" i="8" s="1"/>
  <c r="N16" i="8"/>
  <c r="N17" i="8" s="1"/>
  <c r="N18" i="8" s="1"/>
  <c r="V16" i="8"/>
  <c r="V17" i="8" s="1"/>
  <c r="V18" i="8" s="1"/>
  <c r="P16" i="8"/>
  <c r="P17" i="8" s="1"/>
  <c r="P18" i="8" s="1"/>
  <c r="U16" i="8"/>
  <c r="U17" i="8" s="1"/>
  <c r="U18" i="8" s="1"/>
  <c r="O16" i="8"/>
  <c r="O17" i="8" s="1"/>
  <c r="O18" i="8" s="1"/>
  <c r="L16" i="8"/>
  <c r="L17" i="8" s="1"/>
  <c r="L18" i="8" s="1"/>
  <c r="T16" i="8"/>
  <c r="T17" i="8" s="1"/>
  <c r="T18" i="8" s="1"/>
  <c r="M16" i="8"/>
  <c r="M17" i="8" s="1"/>
  <c r="M18" i="8" s="1"/>
  <c r="W34" i="5"/>
  <c r="W15" i="8" s="1"/>
  <c r="W16" i="8" s="1"/>
  <c r="W17" i="8" s="1"/>
  <c r="W18" i="8" s="1"/>
  <c r="S34" i="5"/>
  <c r="S15" i="8" s="1"/>
  <c r="S16" i="8" s="1"/>
  <c r="S17" i="8" s="1"/>
  <c r="S18" i="8" s="1"/>
  <c r="R34" i="5"/>
  <c r="R15" i="8" s="1"/>
  <c r="R16" i="8" s="1"/>
  <c r="R17" i="8" s="1"/>
  <c r="R18" i="8" s="1"/>
  <c r="Q34" i="5"/>
  <c r="Q15" i="8" s="1"/>
  <c r="Q16" i="8" s="1"/>
  <c r="Q17" i="8" s="1"/>
  <c r="Q18" i="8" s="1"/>
  <c r="G16" i="8"/>
  <c r="G17" i="8" s="1"/>
  <c r="G18" i="8" s="1"/>
  <c r="Y34" i="5"/>
  <c r="Y15" i="8" s="1"/>
  <c r="Y16" i="8" s="1"/>
  <c r="Y17" i="8" s="1"/>
  <c r="Y18" i="8" s="1"/>
  <c r="H84" i="4"/>
  <c r="H85" i="4"/>
  <c r="Z33" i="5"/>
  <c r="Z34" i="5" s="1"/>
  <c r="Z15" i="8" s="1"/>
  <c r="Z16" i="8" s="1"/>
  <c r="Z17" i="8" s="1"/>
  <c r="Z18" i="8" s="1"/>
  <c r="AC41" i="8" l="1"/>
  <c r="AB41" i="8"/>
  <c r="AA41" i="8"/>
  <c r="U44" i="8"/>
  <c r="O44" i="8"/>
  <c r="L44" i="8"/>
  <c r="P39" i="8"/>
  <c r="Q39" i="8"/>
  <c r="E57" i="15"/>
  <c r="F57" i="15" s="1"/>
  <c r="G57" i="15" s="1"/>
  <c r="H57" i="15" s="1"/>
  <c r="I57" i="15" s="1"/>
  <c r="Q57" i="15" s="1"/>
  <c r="T57" i="15" s="1"/>
  <c r="K44" i="8"/>
  <c r="N44" i="8"/>
  <c r="I44" i="8"/>
  <c r="J44" i="8"/>
  <c r="H44" i="8"/>
  <c r="X44" i="8"/>
  <c r="V44" i="8"/>
  <c r="P44" i="8"/>
  <c r="T44" i="8"/>
  <c r="M44" i="8"/>
  <c r="U39" i="8"/>
  <c r="W44" i="8"/>
  <c r="S44" i="8"/>
  <c r="R44" i="8"/>
  <c r="Q44" i="8"/>
  <c r="Y44" i="8"/>
  <c r="Z44" i="8"/>
  <c r="V39" i="8"/>
  <c r="AC46" i="8"/>
  <c r="AC45" i="8"/>
  <c r="AB43" i="8"/>
  <c r="AB46" i="8"/>
  <c r="AB45" i="8"/>
  <c r="AA46" i="8"/>
  <c r="AA45" i="8"/>
  <c r="W43" i="8"/>
  <c r="W46" i="8"/>
  <c r="W45" i="8"/>
  <c r="U43" i="8"/>
  <c r="U46" i="8"/>
  <c r="U45" i="8"/>
  <c r="S46" i="8"/>
  <c r="S45" i="8"/>
  <c r="Q43" i="8"/>
  <c r="Q46" i="8"/>
  <c r="Q45" i="8"/>
  <c r="O43" i="8"/>
  <c r="O45" i="8"/>
  <c r="O46" i="8"/>
  <c r="N43" i="8"/>
  <c r="N45" i="8"/>
  <c r="N46" i="8"/>
  <c r="L45" i="8"/>
  <c r="L46" i="8"/>
  <c r="J45" i="8"/>
  <c r="J46" i="8"/>
  <c r="H45" i="8"/>
  <c r="H46" i="8"/>
  <c r="Z46" i="8"/>
  <c r="Z45" i="8"/>
  <c r="Y43" i="8"/>
  <c r="Y46" i="8"/>
  <c r="Y45" i="8"/>
  <c r="X46" i="8"/>
  <c r="X45" i="8"/>
  <c r="V43" i="8"/>
  <c r="V45" i="8"/>
  <c r="V46" i="8"/>
  <c r="T43" i="8"/>
  <c r="T45" i="8"/>
  <c r="T46" i="8"/>
  <c r="R45" i="8"/>
  <c r="R46" i="8"/>
  <c r="P46" i="8"/>
  <c r="P45" i="8"/>
  <c r="M46" i="8"/>
  <c r="M45" i="8"/>
  <c r="K46" i="8"/>
  <c r="K45" i="8"/>
  <c r="I45" i="8"/>
  <c r="I46" i="8"/>
  <c r="G45" i="8"/>
  <c r="G46" i="8"/>
  <c r="G44" i="8"/>
  <c r="Y39" i="8"/>
  <c r="W39" i="8"/>
  <c r="E66" i="15"/>
  <c r="F66" i="15" s="1"/>
  <c r="G66" i="15" s="1"/>
  <c r="H66" i="15" s="1"/>
  <c r="I66" i="15" s="1"/>
  <c r="Q66" i="15" s="1"/>
  <c r="T66" i="15" s="1"/>
  <c r="AC40" i="8"/>
  <c r="AC43" i="8"/>
  <c r="AA40" i="8"/>
  <c r="AA43" i="8"/>
  <c r="S40" i="8"/>
  <c r="S43" i="8"/>
  <c r="L39" i="8"/>
  <c r="L43" i="8"/>
  <c r="J39" i="8"/>
  <c r="J43" i="8"/>
  <c r="H39" i="8"/>
  <c r="H43" i="8"/>
  <c r="Z39" i="8"/>
  <c r="Z43" i="8"/>
  <c r="X39" i="8"/>
  <c r="X43" i="8"/>
  <c r="R39" i="8"/>
  <c r="R43" i="8"/>
  <c r="P43" i="8"/>
  <c r="M39" i="8"/>
  <c r="M43" i="8"/>
  <c r="K40" i="8"/>
  <c r="K39" i="8"/>
  <c r="K43" i="8"/>
  <c r="I40" i="8"/>
  <c r="I39" i="8"/>
  <c r="I43" i="8"/>
  <c r="G40" i="8"/>
  <c r="G43" i="8"/>
  <c r="AB39" i="8"/>
  <c r="AB40" i="8"/>
  <c r="W40" i="8"/>
  <c r="U40" i="8"/>
  <c r="Q40" i="8"/>
  <c r="O40" i="8"/>
  <c r="O39" i="8"/>
  <c r="N40" i="8"/>
  <c r="N39" i="8"/>
  <c r="Y40" i="8"/>
  <c r="T39" i="8"/>
  <c r="S39" i="8"/>
  <c r="AC39" i="8"/>
  <c r="AA39" i="8"/>
  <c r="S38" i="8"/>
  <c r="U38" i="8"/>
  <c r="AB38" i="8"/>
  <c r="AA38" i="8"/>
  <c r="W38" i="8"/>
  <c r="O38" i="8"/>
  <c r="N38" i="8"/>
  <c r="L38" i="8"/>
  <c r="J38" i="8"/>
  <c r="H38" i="8"/>
  <c r="Y38" i="8"/>
  <c r="R38" i="8"/>
  <c r="AC38" i="8"/>
  <c r="X38" i="8"/>
  <c r="V38" i="8"/>
  <c r="K38" i="8"/>
  <c r="Z38" i="8"/>
  <c r="T38" i="8"/>
  <c r="I38" i="8"/>
  <c r="Q38" i="8"/>
  <c r="P38" i="8"/>
  <c r="M38" i="8"/>
  <c r="AB24" i="8"/>
  <c r="AB27" i="8" s="1"/>
  <c r="AA24" i="8"/>
  <c r="AA27" i="8" s="1"/>
  <c r="W24" i="8"/>
  <c r="U24" i="8"/>
  <c r="S24" i="8"/>
  <c r="Q24" i="8"/>
  <c r="O24" i="8"/>
  <c r="N24" i="8"/>
  <c r="L24" i="8"/>
  <c r="J24" i="8"/>
  <c r="H24" i="8"/>
  <c r="Z24" i="8"/>
  <c r="Y24" i="8"/>
  <c r="X24" i="8"/>
  <c r="V24" i="8"/>
  <c r="T24" i="8"/>
  <c r="R24" i="8"/>
  <c r="P24" i="8"/>
  <c r="M24" i="8"/>
  <c r="K24" i="8"/>
  <c r="I24" i="8"/>
  <c r="G24" i="8"/>
  <c r="G39" i="8"/>
  <c r="E45" i="15"/>
  <c r="E48" i="15"/>
  <c r="E44" i="15"/>
  <c r="E62" i="15"/>
  <c r="F62" i="15" s="1"/>
  <c r="G62" i="15" s="1"/>
  <c r="H62" i="15" s="1"/>
  <c r="I62" i="15" s="1"/>
  <c r="Q62" i="15" s="1"/>
  <c r="T62" i="15" s="1"/>
  <c r="E42" i="15"/>
  <c r="E60" i="15"/>
  <c r="F60" i="15" s="1"/>
  <c r="G60" i="15" s="1"/>
  <c r="H60" i="15" s="1"/>
  <c r="I60" i="15" s="1"/>
  <c r="Q60" i="15" s="1"/>
  <c r="T60" i="15" s="1"/>
  <c r="E47" i="15"/>
  <c r="E46" i="15"/>
  <c r="E43" i="15"/>
  <c r="E41" i="15"/>
  <c r="E64" i="15"/>
  <c r="F64" i="15" s="1"/>
  <c r="G64" i="15" s="1"/>
  <c r="H64" i="15" s="1"/>
  <c r="I64" i="15" s="1"/>
  <c r="Q64" i="15" s="1"/>
  <c r="T64" i="15" s="1"/>
  <c r="E65" i="15"/>
  <c r="F65" i="15" s="1"/>
  <c r="G65" i="15" s="1"/>
  <c r="H65" i="15" s="1"/>
  <c r="I65" i="15" s="1"/>
  <c r="Q65" i="15" s="1"/>
  <c r="T65" i="15" s="1"/>
  <c r="E63" i="15"/>
  <c r="F63" i="15" s="1"/>
  <c r="G63" i="15" s="1"/>
  <c r="H63" i="15" s="1"/>
  <c r="I63" i="15" s="1"/>
  <c r="Q63" i="15" s="1"/>
  <c r="T63" i="15" s="1"/>
  <c r="E61" i="15"/>
  <c r="F61" i="15" s="1"/>
  <c r="G61" i="15" s="1"/>
  <c r="H61" i="15" s="1"/>
  <c r="I61" i="15" s="1"/>
  <c r="Q61" i="15" s="1"/>
  <c r="T61" i="15" s="1"/>
  <c r="E59" i="15"/>
  <c r="F59" i="15" s="1"/>
  <c r="G59" i="15" s="1"/>
  <c r="H59" i="15" s="1"/>
  <c r="I59" i="15" s="1"/>
  <c r="Q59" i="15" s="1"/>
  <c r="T59" i="15" s="1"/>
  <c r="E58" i="15"/>
  <c r="F58" i="15" s="1"/>
  <c r="G58" i="15" s="1"/>
  <c r="H58" i="15" s="1"/>
  <c r="I58" i="15" s="1"/>
  <c r="Q58" i="15" s="1"/>
  <c r="T58" i="15" s="1"/>
  <c r="E49" i="15"/>
  <c r="E40" i="15"/>
  <c r="AC16" i="8"/>
  <c r="AC17" i="8" s="1"/>
  <c r="AC18" i="8" s="1"/>
  <c r="AC44" i="8" s="1"/>
  <c r="AC24" i="8"/>
  <c r="AC27" i="8" s="1"/>
  <c r="G38" i="8"/>
  <c r="AA16" i="8"/>
  <c r="AA17" i="8" s="1"/>
  <c r="AA18" i="8" s="1"/>
  <c r="AA44" i="8" s="1"/>
  <c r="AB16" i="8"/>
  <c r="AB17" i="8" s="1"/>
  <c r="AB18" i="8" s="1"/>
  <c r="AB44" i="8" s="1"/>
  <c r="AB92" i="9" l="1"/>
  <c r="AB93" i="9" s="1"/>
  <c r="AB94" i="9" s="1"/>
  <c r="AB95" i="9" s="1"/>
  <c r="AB42" i="8" s="1"/>
  <c r="AB47" i="8" s="1"/>
  <c r="AA92" i="9"/>
  <c r="AA93" i="9" s="1"/>
  <c r="AA94" i="9" s="1"/>
  <c r="AA95" i="9" s="1"/>
  <c r="AA42" i="8" s="1"/>
  <c r="AA47" i="8" s="1"/>
  <c r="AC92" i="9"/>
  <c r="AC93" i="9" s="1"/>
  <c r="AC94" i="9" s="1"/>
  <c r="AC95" i="9" s="1"/>
  <c r="AC42" i="8" s="1"/>
  <c r="AC47" i="8" s="1"/>
  <c r="G49" i="15"/>
  <c r="N49" i="15" s="1"/>
  <c r="Q49" i="15" s="1"/>
  <c r="F49" i="15"/>
  <c r="I49" i="15" s="1"/>
  <c r="F45" i="15"/>
  <c r="I45" i="15" s="1"/>
  <c r="G45" i="15"/>
  <c r="N45" i="15" s="1"/>
  <c r="Q45" i="15" s="1"/>
  <c r="G42" i="15"/>
  <c r="N42" i="15" s="1"/>
  <c r="Q42" i="15" s="1"/>
  <c r="F42" i="15"/>
  <c r="I42" i="15" s="1"/>
  <c r="G47" i="15"/>
  <c r="N47" i="15" s="1"/>
  <c r="Q47" i="15" s="1"/>
  <c r="F47" i="15"/>
  <c r="I47" i="15" s="1"/>
  <c r="F48" i="15"/>
  <c r="I48" i="15" s="1"/>
  <c r="G48" i="15"/>
  <c r="N48" i="15" s="1"/>
  <c r="Q48" i="15" s="1"/>
  <c r="F44" i="15"/>
  <c r="I44" i="15" s="1"/>
  <c r="G44" i="15"/>
  <c r="N44" i="15" s="1"/>
  <c r="Q44" i="15" s="1"/>
  <c r="U62" i="15"/>
  <c r="Q74" i="9"/>
  <c r="Q25" i="8" s="1"/>
  <c r="Q41" i="8" s="1"/>
  <c r="U65" i="15"/>
  <c r="W74" i="9"/>
  <c r="W25" i="8" s="1"/>
  <c r="W41" i="8" s="1"/>
  <c r="U59" i="15"/>
  <c r="K74" i="9"/>
  <c r="K25" i="8" s="1"/>
  <c r="K41" i="8" s="1"/>
  <c r="U60" i="15"/>
  <c r="N74" i="9"/>
  <c r="N25" i="8" s="1"/>
  <c r="N41" i="8" s="1"/>
  <c r="F46" i="15"/>
  <c r="I46" i="15" s="1"/>
  <c r="G46" i="15"/>
  <c r="N46" i="15" s="1"/>
  <c r="Q46" i="15" s="1"/>
  <c r="F43" i="15"/>
  <c r="I43" i="15" s="1"/>
  <c r="G43" i="15"/>
  <c r="N43" i="15" s="1"/>
  <c r="Q43" i="15" s="1"/>
  <c r="F41" i="15"/>
  <c r="I41" i="15" s="1"/>
  <c r="G41" i="15"/>
  <c r="N41" i="15" s="1"/>
  <c r="Q41" i="15" s="1"/>
  <c r="U64" i="15"/>
  <c r="U74" i="9"/>
  <c r="U25" i="8" s="1"/>
  <c r="U41" i="8" s="1"/>
  <c r="U63" i="15"/>
  <c r="S74" i="9"/>
  <c r="S25" i="8" s="1"/>
  <c r="S41" i="8" s="1"/>
  <c r="U61" i="15"/>
  <c r="O74" i="9"/>
  <c r="O25" i="8" s="1"/>
  <c r="O41" i="8" s="1"/>
  <c r="G74" i="9"/>
  <c r="G25" i="8" s="1"/>
  <c r="U57" i="15"/>
  <c r="U66" i="15"/>
  <c r="Y74" i="9"/>
  <c r="Y25" i="8" s="1"/>
  <c r="Y41" i="8" s="1"/>
  <c r="U58" i="15"/>
  <c r="I74" i="9"/>
  <c r="I25" i="8" s="1"/>
  <c r="I41" i="8" s="1"/>
  <c r="G40" i="15"/>
  <c r="N40" i="15" s="1"/>
  <c r="Q40" i="15" s="1"/>
  <c r="F40" i="15"/>
  <c r="I40" i="15" s="1"/>
  <c r="AC29" i="8"/>
  <c r="AA29" i="8"/>
  <c r="AA31" i="8" s="1"/>
  <c r="AB29" i="8"/>
  <c r="AB31" i="8" s="1"/>
  <c r="K49" i="15" l="1"/>
  <c r="Z77" i="9" s="1"/>
  <c r="Z78" i="9" s="1"/>
  <c r="Z40" i="8" s="1"/>
  <c r="J49" i="15"/>
  <c r="P49" i="15" s="1"/>
  <c r="T49" i="15" s="1"/>
  <c r="J48" i="15"/>
  <c r="P48" i="15" s="1"/>
  <c r="T48" i="15" s="1"/>
  <c r="K48" i="15"/>
  <c r="X77" i="9" s="1"/>
  <c r="X78" i="9" s="1"/>
  <c r="X40" i="8" s="1"/>
  <c r="K47" i="15"/>
  <c r="V77" i="9" s="1"/>
  <c r="V78" i="9" s="1"/>
  <c r="V40" i="8" s="1"/>
  <c r="J47" i="15"/>
  <c r="P47" i="15" s="1"/>
  <c r="T47" i="15" s="1"/>
  <c r="K42" i="15"/>
  <c r="L77" i="9" s="1"/>
  <c r="L78" i="9" s="1"/>
  <c r="L40" i="8" s="1"/>
  <c r="J42" i="15"/>
  <c r="P42" i="15" s="1"/>
  <c r="T42" i="15" s="1"/>
  <c r="K27" i="8"/>
  <c r="K29" i="8" s="1"/>
  <c r="J45" i="15"/>
  <c r="P45" i="15" s="1"/>
  <c r="T45" i="15" s="1"/>
  <c r="K45" i="15"/>
  <c r="R77" i="9" s="1"/>
  <c r="R78" i="9" s="1"/>
  <c r="R40" i="8" s="1"/>
  <c r="J44" i="15"/>
  <c r="P44" i="15" s="1"/>
  <c r="T44" i="15" s="1"/>
  <c r="K44" i="15"/>
  <c r="P77" i="9" s="1"/>
  <c r="P78" i="9" s="1"/>
  <c r="P40" i="8" s="1"/>
  <c r="Q27" i="8"/>
  <c r="Q29" i="8" s="1"/>
  <c r="W27" i="8"/>
  <c r="W29" i="8" s="1"/>
  <c r="K46" i="15"/>
  <c r="T77" i="9" s="1"/>
  <c r="T78" i="9" s="1"/>
  <c r="T40" i="8" s="1"/>
  <c r="J46" i="15"/>
  <c r="P46" i="15" s="1"/>
  <c r="T46" i="15" s="1"/>
  <c r="N27" i="8"/>
  <c r="N29" i="8" s="1"/>
  <c r="J43" i="15"/>
  <c r="P43" i="15" s="1"/>
  <c r="T43" i="15" s="1"/>
  <c r="K43" i="15"/>
  <c r="M77" i="9" s="1"/>
  <c r="M78" i="9" s="1"/>
  <c r="M40" i="8" s="1"/>
  <c r="J41" i="15"/>
  <c r="P41" i="15" s="1"/>
  <c r="T41" i="15" s="1"/>
  <c r="K41" i="15"/>
  <c r="J77" i="9" s="1"/>
  <c r="J78" i="9" s="1"/>
  <c r="J40" i="8" s="1"/>
  <c r="U27" i="8"/>
  <c r="U29" i="8" s="1"/>
  <c r="S27" i="8"/>
  <c r="S29" i="8" s="1"/>
  <c r="O27" i="8"/>
  <c r="O29" i="8" s="1"/>
  <c r="G41" i="8"/>
  <c r="G27" i="8"/>
  <c r="G29" i="8" s="1"/>
  <c r="Y27" i="8"/>
  <c r="Y29" i="8" s="1"/>
  <c r="I27" i="8"/>
  <c r="I29" i="8" s="1"/>
  <c r="AC31" i="8"/>
  <c r="AC30" i="8"/>
  <c r="AC32" i="8" s="1"/>
  <c r="AC33" i="8" s="1"/>
  <c r="AC49" i="8" s="1"/>
  <c r="AC50" i="8" s="1"/>
  <c r="J40" i="15"/>
  <c r="P40" i="15" s="1"/>
  <c r="T40" i="15" s="1"/>
  <c r="K40" i="15"/>
  <c r="H77" i="9" s="1"/>
  <c r="H78" i="9" s="1"/>
  <c r="H40" i="8" s="1"/>
  <c r="AA30" i="8"/>
  <c r="AA32" i="8" s="1"/>
  <c r="AB30" i="8"/>
  <c r="AB32" i="8" s="1"/>
  <c r="K92" i="9" l="1"/>
  <c r="K93" i="9" s="1"/>
  <c r="K94" i="9" s="1"/>
  <c r="K95" i="9" s="1"/>
  <c r="K42" i="8" s="1"/>
  <c r="K47" i="8" s="1"/>
  <c r="Q92" i="9"/>
  <c r="Q93" i="9" s="1"/>
  <c r="Q94" i="9" s="1"/>
  <c r="Q95" i="9" s="1"/>
  <c r="Q42" i="8" s="1"/>
  <c r="Q47" i="8" s="1"/>
  <c r="W92" i="9"/>
  <c r="W93" i="9" s="1"/>
  <c r="W94" i="9" s="1"/>
  <c r="W95" i="9" s="1"/>
  <c r="W42" i="8" s="1"/>
  <c r="W47" i="8" s="1"/>
  <c r="N92" i="9"/>
  <c r="N93" i="9" s="1"/>
  <c r="N94" i="9" s="1"/>
  <c r="N95" i="9" s="1"/>
  <c r="N42" i="8" s="1"/>
  <c r="N47" i="8" s="1"/>
  <c r="U92" i="9"/>
  <c r="U93" i="9" s="1"/>
  <c r="U94" i="9" s="1"/>
  <c r="U95" i="9" s="1"/>
  <c r="U42" i="8" s="1"/>
  <c r="U47" i="8" s="1"/>
  <c r="S92" i="9"/>
  <c r="S93" i="9" s="1"/>
  <c r="S94" i="9" s="1"/>
  <c r="S95" i="9" s="1"/>
  <c r="S42" i="8" s="1"/>
  <c r="S47" i="8" s="1"/>
  <c r="O92" i="9"/>
  <c r="O93" i="9" s="1"/>
  <c r="O94" i="9" s="1"/>
  <c r="O95" i="9" s="1"/>
  <c r="O42" i="8" s="1"/>
  <c r="O47" i="8" s="1"/>
  <c r="Y92" i="9"/>
  <c r="Y93" i="9" s="1"/>
  <c r="Y94" i="9" s="1"/>
  <c r="Y95" i="9" s="1"/>
  <c r="Y42" i="8" s="1"/>
  <c r="Y47" i="8" s="1"/>
  <c r="I92" i="9"/>
  <c r="I93" i="9" s="1"/>
  <c r="I94" i="9" s="1"/>
  <c r="I95" i="9" s="1"/>
  <c r="I42" i="8" s="1"/>
  <c r="I47" i="8" s="1"/>
  <c r="G92" i="9"/>
  <c r="G93" i="9" s="1"/>
  <c r="G94" i="9" s="1"/>
  <c r="G95" i="9" s="1"/>
  <c r="G42" i="8" s="1"/>
  <c r="G47" i="8" s="1"/>
  <c r="U49" i="15"/>
  <c r="Z74" i="9"/>
  <c r="Z25" i="8" s="1"/>
  <c r="Z41" i="8" s="1"/>
  <c r="V74" i="9"/>
  <c r="V25" i="8" s="1"/>
  <c r="V41" i="8" s="1"/>
  <c r="U47" i="15"/>
  <c r="K30" i="8"/>
  <c r="K32" i="8" s="1"/>
  <c r="K33" i="8" s="1"/>
  <c r="K31" i="8"/>
  <c r="W31" i="8"/>
  <c r="W30" i="8"/>
  <c r="W32" i="8" s="1"/>
  <c r="W33" i="8" s="1"/>
  <c r="U46" i="15"/>
  <c r="T74" i="9"/>
  <c r="T25" i="8" s="1"/>
  <c r="T41" i="8" s="1"/>
  <c r="U45" i="15"/>
  <c r="R74" i="9"/>
  <c r="R25" i="8" s="1"/>
  <c r="R41" i="8" s="1"/>
  <c r="U42" i="15"/>
  <c r="L74" i="9"/>
  <c r="L25" i="8" s="1"/>
  <c r="L41" i="8" s="1"/>
  <c r="U48" i="15"/>
  <c r="X74" i="9"/>
  <c r="X25" i="8" s="1"/>
  <c r="X41" i="8" s="1"/>
  <c r="U44" i="15"/>
  <c r="P74" i="9"/>
  <c r="P25" i="8" s="1"/>
  <c r="P41" i="8" s="1"/>
  <c r="N31" i="8"/>
  <c r="N30" i="8"/>
  <c r="N32" i="8" s="1"/>
  <c r="N33" i="8" s="1"/>
  <c r="U30" i="8"/>
  <c r="U32" i="8" s="1"/>
  <c r="U33" i="8" s="1"/>
  <c r="U31" i="8"/>
  <c r="Q31" i="8"/>
  <c r="Q30" i="8"/>
  <c r="Q32" i="8" s="1"/>
  <c r="Q33" i="8" s="1"/>
  <c r="U43" i="15"/>
  <c r="M74" i="9"/>
  <c r="M25" i="8" s="1"/>
  <c r="M41" i="8" s="1"/>
  <c r="U41" i="15"/>
  <c r="J74" i="9"/>
  <c r="J25" i="8" s="1"/>
  <c r="J41" i="8" s="1"/>
  <c r="S31" i="8"/>
  <c r="S30" i="8"/>
  <c r="S32" i="8" s="1"/>
  <c r="S33" i="8" s="1"/>
  <c r="O31" i="8"/>
  <c r="O30" i="8"/>
  <c r="O32" i="8" s="1"/>
  <c r="O33" i="8" s="1"/>
  <c r="G31" i="8"/>
  <c r="G30" i="8"/>
  <c r="G32" i="8" s="1"/>
  <c r="G33" i="8" s="1"/>
  <c r="Y31" i="8"/>
  <c r="Y30" i="8"/>
  <c r="Y32" i="8" s="1"/>
  <c r="Y33" i="8" s="1"/>
  <c r="I31" i="8"/>
  <c r="I30" i="8"/>
  <c r="I32" i="8" s="1"/>
  <c r="I33" i="8" s="1"/>
  <c r="U40" i="15"/>
  <c r="H74" i="9"/>
  <c r="H25" i="8" s="1"/>
  <c r="H41" i="8" s="1"/>
  <c r="AC55" i="8"/>
  <c r="AC54" i="8"/>
  <c r="AA33" i="8"/>
  <c r="AA49" i="8" s="1"/>
  <c r="AA50" i="8" s="1"/>
  <c r="AB33" i="8"/>
  <c r="AB49" i="8" s="1"/>
  <c r="AB50" i="8" s="1"/>
  <c r="I49" i="8" l="1"/>
  <c r="I50" i="8" s="1"/>
  <c r="U49" i="8"/>
  <c r="U50" i="8" s="1"/>
  <c r="Y49" i="8"/>
  <c r="Y50" i="8" s="1"/>
  <c r="N49" i="8"/>
  <c r="N50" i="8" s="1"/>
  <c r="S49" i="8"/>
  <c r="S50" i="8" s="1"/>
  <c r="O49" i="8"/>
  <c r="O50" i="8" s="1"/>
  <c r="K49" i="8"/>
  <c r="K50" i="8" s="1"/>
  <c r="W49" i="8"/>
  <c r="W50" i="8" s="1"/>
  <c r="Q49" i="8"/>
  <c r="Q50" i="8" s="1"/>
  <c r="G49" i="8"/>
  <c r="G50" i="8" s="1"/>
  <c r="Z27" i="8"/>
  <c r="Z29" i="8" s="1"/>
  <c r="V27" i="8"/>
  <c r="V29" i="8" s="1"/>
  <c r="T27" i="8"/>
  <c r="T29" i="8" s="1"/>
  <c r="R27" i="8"/>
  <c r="R29" i="8" s="1"/>
  <c r="L27" i="8"/>
  <c r="L29" i="8" s="1"/>
  <c r="X27" i="8"/>
  <c r="X29" i="8" s="1"/>
  <c r="P27" i="8"/>
  <c r="P29" i="8" s="1"/>
  <c r="M27" i="8"/>
  <c r="M29" i="8" s="1"/>
  <c r="J27" i="8"/>
  <c r="J29" i="8" s="1"/>
  <c r="H27" i="8"/>
  <c r="H29" i="8" s="1"/>
  <c r="AA55" i="8"/>
  <c r="AA54" i="8"/>
  <c r="AB55" i="8"/>
  <c r="AB54" i="8"/>
  <c r="I55" i="8" l="1"/>
  <c r="I54" i="8"/>
  <c r="U54" i="8"/>
  <c r="U55" i="8"/>
  <c r="Y54" i="8"/>
  <c r="Y55" i="8"/>
  <c r="N55" i="8"/>
  <c r="N54" i="8"/>
  <c r="S55" i="8"/>
  <c r="S54" i="8"/>
  <c r="O54" i="8"/>
  <c r="O55" i="8"/>
  <c r="K55" i="8"/>
  <c r="K54" i="8"/>
  <c r="W54" i="8"/>
  <c r="W55" i="8"/>
  <c r="Q55" i="8"/>
  <c r="Q54" i="8"/>
  <c r="Z92" i="9"/>
  <c r="Z93" i="9" s="1"/>
  <c r="Z94" i="9" s="1"/>
  <c r="Z95" i="9" s="1"/>
  <c r="Z42" i="8" s="1"/>
  <c r="Z47" i="8" s="1"/>
  <c r="V92" i="9"/>
  <c r="V93" i="9" s="1"/>
  <c r="V94" i="9" s="1"/>
  <c r="V95" i="9" s="1"/>
  <c r="V42" i="8" s="1"/>
  <c r="V47" i="8" s="1"/>
  <c r="T92" i="9"/>
  <c r="T93" i="9" s="1"/>
  <c r="T94" i="9" s="1"/>
  <c r="T95" i="9" s="1"/>
  <c r="T42" i="8" s="1"/>
  <c r="T47" i="8" s="1"/>
  <c r="R92" i="9"/>
  <c r="R93" i="9" s="1"/>
  <c r="R94" i="9" s="1"/>
  <c r="R95" i="9" s="1"/>
  <c r="R42" i="8" s="1"/>
  <c r="R47" i="8" s="1"/>
  <c r="L92" i="9"/>
  <c r="L93" i="9" s="1"/>
  <c r="L94" i="9" s="1"/>
  <c r="L95" i="9" s="1"/>
  <c r="L42" i="8" s="1"/>
  <c r="L47" i="8" s="1"/>
  <c r="X92" i="9"/>
  <c r="X93" i="9" s="1"/>
  <c r="X94" i="9" s="1"/>
  <c r="X95" i="9" s="1"/>
  <c r="X42" i="8" s="1"/>
  <c r="X47" i="8" s="1"/>
  <c r="P92" i="9"/>
  <c r="P93" i="9" s="1"/>
  <c r="P94" i="9" s="1"/>
  <c r="P95" i="9" s="1"/>
  <c r="P42" i="8" s="1"/>
  <c r="P47" i="8" s="1"/>
  <c r="M92" i="9"/>
  <c r="M93" i="9" s="1"/>
  <c r="M94" i="9" s="1"/>
  <c r="M95" i="9" s="1"/>
  <c r="M42" i="8" s="1"/>
  <c r="M47" i="8" s="1"/>
  <c r="J92" i="9"/>
  <c r="J93" i="9" s="1"/>
  <c r="J94" i="9" s="1"/>
  <c r="J95" i="9" s="1"/>
  <c r="J42" i="8" s="1"/>
  <c r="J47" i="8" s="1"/>
  <c r="H92" i="9"/>
  <c r="H93" i="9" s="1"/>
  <c r="H94" i="9" s="1"/>
  <c r="H95" i="9" s="1"/>
  <c r="H42" i="8" s="1"/>
  <c r="H47" i="8" s="1"/>
  <c r="G54" i="8"/>
  <c r="G55" i="8"/>
  <c r="Z30" i="8"/>
  <c r="Z32" i="8" s="1"/>
  <c r="Z33" i="8" s="1"/>
  <c r="Z31" i="8"/>
  <c r="V30" i="8"/>
  <c r="V32" i="8" s="1"/>
  <c r="V33" i="8" s="1"/>
  <c r="V31" i="8"/>
  <c r="T30" i="8"/>
  <c r="T32" i="8" s="1"/>
  <c r="T33" i="8" s="1"/>
  <c r="T31" i="8"/>
  <c r="R30" i="8"/>
  <c r="R32" i="8" s="1"/>
  <c r="R33" i="8" s="1"/>
  <c r="R31" i="8"/>
  <c r="X31" i="8"/>
  <c r="X30" i="8"/>
  <c r="X32" i="8" s="1"/>
  <c r="X33" i="8" s="1"/>
  <c r="L30" i="8"/>
  <c r="L32" i="8" s="1"/>
  <c r="L33" i="8" s="1"/>
  <c r="L31" i="8"/>
  <c r="P30" i="8"/>
  <c r="P32" i="8" s="1"/>
  <c r="P33" i="8" s="1"/>
  <c r="P31" i="8"/>
  <c r="M30" i="8"/>
  <c r="M32" i="8" s="1"/>
  <c r="M33" i="8" s="1"/>
  <c r="M31" i="8"/>
  <c r="J30" i="8"/>
  <c r="J32" i="8" s="1"/>
  <c r="J33" i="8" s="1"/>
  <c r="J31" i="8"/>
  <c r="H30" i="8"/>
  <c r="H32" i="8" s="1"/>
  <c r="H33" i="8" s="1"/>
  <c r="H31" i="8"/>
  <c r="Z49" i="8" l="1"/>
  <c r="Z50" i="8" s="1"/>
  <c r="T49" i="8"/>
  <c r="T50" i="8" s="1"/>
  <c r="L49" i="8"/>
  <c r="L50" i="8" s="1"/>
  <c r="V49" i="8"/>
  <c r="V50" i="8" s="1"/>
  <c r="X49" i="8"/>
  <c r="X50" i="8" s="1"/>
  <c r="P49" i="8"/>
  <c r="P50" i="8" s="1"/>
  <c r="R49" i="8"/>
  <c r="R50" i="8" s="1"/>
  <c r="J49" i="8"/>
  <c r="J50" i="8" s="1"/>
  <c r="M49" i="8"/>
  <c r="M50" i="8" s="1"/>
  <c r="H49" i="8"/>
  <c r="H50" i="8" s="1"/>
  <c r="Z55" i="8" l="1"/>
  <c r="Z54" i="8"/>
  <c r="T54" i="8"/>
  <c r="T55" i="8"/>
  <c r="L54" i="8"/>
  <c r="L55" i="8"/>
  <c r="V54" i="8"/>
  <c r="V55" i="8"/>
  <c r="M54" i="8"/>
  <c r="M55" i="8"/>
  <c r="X54" i="8"/>
  <c r="X55" i="8"/>
  <c r="P54" i="8"/>
  <c r="P55" i="8"/>
  <c r="J55" i="8"/>
  <c r="J54" i="8"/>
  <c r="R55" i="8"/>
  <c r="R54" i="8"/>
  <c r="H54" i="8"/>
  <c r="H55" i="8"/>
</calcChain>
</file>

<file path=xl/sharedStrings.xml><?xml version="1.0" encoding="utf-8"?>
<sst xmlns="http://schemas.openxmlformats.org/spreadsheetml/2006/main" count="1185" uniqueCount="650">
  <si>
    <t>This workbook has been developed for the purposes of assessing the least fixed cost candidate configuration for the draft determination of the 2026 Benchmark Technology.</t>
  </si>
  <si>
    <t>It is not for use for any other purpose and is not to be relied upon by any party besides EPWA for the use of its intended purpose above.</t>
  </si>
  <si>
    <t>Parameters</t>
  </si>
  <si>
    <t>Current date</t>
  </si>
  <si>
    <t>BRCP date</t>
  </si>
  <si>
    <t>Date the plant is assumed to be built by.  BRCP costs expressed in these dollars</t>
  </si>
  <si>
    <t>Fx date</t>
  </si>
  <si>
    <t>GHD, CSIRO and IASR values are $2025</t>
  </si>
  <si>
    <t>Fx rate</t>
  </si>
  <si>
    <t>Ref date for technology costs</t>
  </si>
  <si>
    <t>Same as fx date</t>
  </si>
  <si>
    <t>CPI index at Ref date</t>
  </si>
  <si>
    <t>CPI index at current date</t>
  </si>
  <si>
    <t>CPI index at BRCP date</t>
  </si>
  <si>
    <t>WACC</t>
  </si>
  <si>
    <t>ERA: 2026-brcp-final-determination-calculation-spreadsheet</t>
  </si>
  <si>
    <t>Amortisation period</t>
  </si>
  <si>
    <t>Tilt factor</t>
  </si>
  <si>
    <t>Owner's cost allowances for thermal plant</t>
  </si>
  <si>
    <t>GHD for AEMO.  Note incl land as well as owners and development costs but this is ignored as small and not dissected</t>
  </si>
  <si>
    <t>Notional BESS size</t>
  </si>
  <si>
    <t>MW net</t>
  </si>
  <si>
    <t>Used to convert $/kW and $/kW/y parameters (from IASR) into $</t>
  </si>
  <si>
    <t>Pre-FID development cost</t>
  </si>
  <si>
    <t>$M</t>
  </si>
  <si>
    <t>Nominal allowance.  Same for all configurations</t>
  </si>
  <si>
    <t>Include Fixed Capital  charge?</t>
  </si>
  <si>
    <t>EPWA to include or exclude</t>
  </si>
  <si>
    <t>Fixed Capital charge value</t>
  </si>
  <si>
    <t>$/MW</t>
  </si>
  <si>
    <t>https://www.wa.gov.au/organisation/energy-policy-wa/fixed-capital-contribution-consultation</t>
  </si>
  <si>
    <t>Site location</t>
  </si>
  <si>
    <t>Average</t>
  </si>
  <si>
    <t>Land cost</t>
  </si>
  <si>
    <t>$/Ha</t>
  </si>
  <si>
    <t>Refer land tab</t>
  </si>
  <si>
    <t>Proportion of installation cost that is labour</t>
  </si>
  <si>
    <t>See TFlow33 sheet for guidance</t>
  </si>
  <si>
    <t>Fixed maintenance factors (% of capex)</t>
  </si>
  <si>
    <t>- Electricity connection</t>
  </si>
  <si>
    <t>Jacobs</t>
  </si>
  <si>
    <t>- Gas connection</t>
  </si>
  <si>
    <t>TUOS charge parameters:</t>
  </si>
  <si>
    <t>Refer WP sheet</t>
  </si>
  <si>
    <t>- Use of system</t>
  </si>
  <si>
    <t>c/kW/day</t>
  </si>
  <si>
    <t>- Control system service price</t>
  </si>
  <si>
    <t>- Metering charge</t>
  </si>
  <si>
    <t>c/meter/day</t>
  </si>
  <si>
    <t>DBNGP tariff</t>
  </si>
  <si>
    <t>$/GJ/day</t>
  </si>
  <si>
    <t>Refer Gas sheet</t>
  </si>
  <si>
    <t>Corporate overhead and consulting costs</t>
  </si>
  <si>
    <t>$/y</t>
  </si>
  <si>
    <t>GHD report 2028/29 Table 20</t>
  </si>
  <si>
    <t>Insurance adjustment</t>
  </si>
  <si>
    <t>of  capex/year (excl extras which are offsite or N/A)</t>
  </si>
  <si>
    <t>Added by Jacobs as we were not satisfied was in the IASR amounts adequately (referencing source GHD etc reports)</t>
  </si>
  <si>
    <t>Site security</t>
  </si>
  <si>
    <t>GHD report 2028/29 Table 21</t>
  </si>
  <si>
    <t>Rates</t>
  </si>
  <si>
    <t>$ per 7.3 Ha</t>
  </si>
  <si>
    <t>GHD report 2028/29 Table 22</t>
  </si>
  <si>
    <t>Fuel stored - Gas Only case</t>
  </si>
  <si>
    <t>Hours</t>
  </si>
  <si>
    <t>Fuel stored - DF case</t>
  </si>
  <si>
    <t>1.5 days when distillate is the RCP fuel, allows for order lag, leaving some in tank etc</t>
  </si>
  <si>
    <t>Cash cycle for WC calc</t>
  </si>
  <si>
    <t>Days</t>
  </si>
  <si>
    <t>Assumption</t>
  </si>
  <si>
    <t>Selected technical parameters:</t>
  </si>
  <si>
    <t>Configuration</t>
  </si>
  <si>
    <t xml:space="preserve">SCGT </t>
  </si>
  <si>
    <t xml:space="preserve">CCGT </t>
  </si>
  <si>
    <t xml:space="preserve">RECIP </t>
  </si>
  <si>
    <t>BESS</t>
  </si>
  <si>
    <t xml:space="preserve">GT13E2 </t>
  </si>
  <si>
    <t xml:space="preserve">SGT5-2000E </t>
  </si>
  <si>
    <t xml:space="preserve">1x9FA </t>
  </si>
  <si>
    <t xml:space="preserve">LM2500 </t>
  </si>
  <si>
    <t xml:space="preserve">LM6000 </t>
  </si>
  <si>
    <t xml:space="preserve">LMS100 </t>
  </si>
  <si>
    <t xml:space="preserve">9FA </t>
  </si>
  <si>
    <t xml:space="preserve">Jenbacher </t>
  </si>
  <si>
    <t xml:space="preserve">Wartsila </t>
  </si>
  <si>
    <t>6hr</t>
  </si>
  <si>
    <t>7hr</t>
  </si>
  <si>
    <t>8hr</t>
  </si>
  <si>
    <t>Row</t>
  </si>
  <si>
    <t>DF</t>
  </si>
  <si>
    <t>GasOnly</t>
  </si>
  <si>
    <t>Tag</t>
  </si>
  <si>
    <t>IASR selection</t>
  </si>
  <si>
    <t>OCGT (large GT)</t>
  </si>
  <si>
    <t>OCGT (small GT)</t>
  </si>
  <si>
    <t>CCGT</t>
  </si>
  <si>
    <t>Gas recip</t>
  </si>
  <si>
    <t>Battery storage (6hrs storage)</t>
  </si>
  <si>
    <t>Battery storage (7hrs storage)</t>
  </si>
  <si>
    <t>Battery storage (8hrs storage)</t>
  </si>
  <si>
    <t>Configuration Gross MW (clean-as-new)</t>
  </si>
  <si>
    <t>Configuration Nnet MW (clean-as-new)</t>
  </si>
  <si>
    <t>HR, net, LHV, GJ/MWh (clean-as-new)</t>
  </si>
  <si>
    <t>Gas supply pressure at skid edge, Bara</t>
  </si>
  <si>
    <t>Fuel, GJ/h (on gas, approx)</t>
  </si>
  <si>
    <t>Proportion of powerplant capex that is installation</t>
  </si>
  <si>
    <t>Localisation factor for capex</t>
  </si>
  <si>
    <t># Electrical connections</t>
  </si>
  <si>
    <t>Area (powerplant excl switchyard)</t>
  </si>
  <si>
    <t>Ha</t>
  </si>
  <si>
    <t>Electrical Connection Cost</t>
  </si>
  <si>
    <t>Gas connection cost</t>
  </si>
  <si>
    <t>Water connection cost</t>
  </si>
  <si>
    <t>MDQ</t>
  </si>
  <si>
    <t>GJ/day</t>
  </si>
  <si>
    <t>MDQ cost</t>
  </si>
  <si>
    <t>$M/year</t>
  </si>
  <si>
    <t>Capacity credits multiplier - Peak</t>
  </si>
  <si>
    <t>Capacity credits multiplier - Flex</t>
  </si>
  <si>
    <t>TUOS</t>
  </si>
  <si>
    <t>-Total</t>
  </si>
  <si>
    <t>Working capital</t>
  </si>
  <si>
    <t>- Fuel inventory hours</t>
  </si>
  <si>
    <t>- Fuel inventory $</t>
  </si>
  <si>
    <t>- FOM/year (excl WC), $</t>
  </si>
  <si>
    <t>- Cash cycle $ WC</t>
  </si>
  <si>
    <t>- Total WC</t>
  </si>
  <si>
    <t>WC annual cost</t>
  </si>
  <si>
    <t>Bottom of table</t>
  </si>
  <si>
    <t>Location</t>
  </si>
  <si>
    <t>Distance from DBNGP, km</t>
  </si>
  <si>
    <t>Three Springs</t>
  </si>
  <si>
    <t>Eneabba</t>
  </si>
  <si>
    <t>Badgingarra</t>
  </si>
  <si>
    <t>Cataby</t>
  </si>
  <si>
    <t>Gingin</t>
  </si>
  <si>
    <t>Muchea</t>
  </si>
  <si>
    <t>Pinjar</t>
  </si>
  <si>
    <t>Neerabup</t>
  </si>
  <si>
    <t>Calculations</t>
  </si>
  <si>
    <t>Configuration net MW (clean-as-new)</t>
  </si>
  <si>
    <t># electrical connections</t>
  </si>
  <si>
    <t>BESS, $/kW, AUD, $2025</t>
  </si>
  <si>
    <t>Powerplant cost</t>
  </si>
  <si>
    <t>USD, at notional Vic location, $2025</t>
  </si>
  <si>
    <t>EPC+Owners</t>
  </si>
  <si>
    <t>AUD, at notional Vic location, $2025</t>
  </si>
  <si>
    <t>AUD, at notional Vic location, $2026</t>
  </si>
  <si>
    <t>$ extras</t>
  </si>
  <si>
    <t>Pre-FID development</t>
  </si>
  <si>
    <t>Land (PS)</t>
  </si>
  <si>
    <t>Electrical connection</t>
  </si>
  <si>
    <t>Electrical Fixed Capital Contribution charge</t>
  </si>
  <si>
    <t>Gas connection</t>
  </si>
  <si>
    <t>Water (external infrastructure)</t>
  </si>
  <si>
    <t>Total extras</t>
  </si>
  <si>
    <t>Total capex incl extras</t>
  </si>
  <si>
    <t>$/kW ($2026)</t>
  </si>
  <si>
    <t>Annualised capex</t>
  </si>
  <si>
    <t>$/year</t>
  </si>
  <si>
    <t>$/MW/y</t>
  </si>
  <si>
    <t>"Weighted average cost of capital" factor</t>
  </si>
  <si>
    <t>FOM, $/MW/y</t>
  </si>
  <si>
    <t>Plant FOM, Technology IASR</t>
  </si>
  <si>
    <t>Transmission connection asset maintenance</t>
  </si>
  <si>
    <t>Transmission NUOS</t>
  </si>
  <si>
    <t>DBNGP capacity</t>
  </si>
  <si>
    <t>Gas connection FOM</t>
  </si>
  <si>
    <t>Corporate overheads etc</t>
  </si>
  <si>
    <t>Total</t>
  </si>
  <si>
    <t>Total annual costs</t>
  </si>
  <si>
    <t>Proxy BRCP - Peak</t>
  </si>
  <si>
    <t>Proxy BRCP - Flex</t>
  </si>
  <si>
    <t>Values adopted:</t>
  </si>
  <si>
    <t># connections</t>
  </si>
  <si>
    <t>WesternPower</t>
  </si>
  <si>
    <t>Single connection:</t>
  </si>
  <si>
    <t>Double connection:</t>
  </si>
  <si>
    <t>Add CB, isolator and gantry landing to the breaker-and-half arrangement shown (assume 1.5M), add second tx line and easement value</t>
  </si>
  <si>
    <t>WesternPower tariffs</t>
  </si>
  <si>
    <t>2026-27 Price List for the Western Power Network Proposed by Western Power on 31 March 2026</t>
  </si>
  <si>
    <t>Reference tariffs RT11, TRT2 and TRT3</t>
  </si>
  <si>
    <t>https://www.erawa.com.au/sites/default/files/2026-27-price-list-for-the-western-power-network.PDF</t>
  </si>
  <si>
    <t>Substation</t>
  </si>
  <si>
    <t>TNI</t>
  </si>
  <si>
    <t>Use of System Price (c/kW/day)</t>
  </si>
  <si>
    <t>Albany</t>
  </si>
  <si>
    <t>WALB</t>
  </si>
  <si>
    <t>Alcoa Pinjarra</t>
  </si>
  <si>
    <t>WAPJ</t>
  </si>
  <si>
    <t>WBGA</t>
  </si>
  <si>
    <t>Bluewaters</t>
  </si>
  <si>
    <t>WBWP</t>
  </si>
  <si>
    <t>Boulder</t>
  </si>
  <si>
    <t>WBLD</t>
  </si>
  <si>
    <t>Cockburn PWS</t>
  </si>
  <si>
    <t>WCKB</t>
  </si>
  <si>
    <t>Values for TUOS charge calculation:</t>
  </si>
  <si>
    <t>Collgar</t>
  </si>
  <si>
    <t>WCGW</t>
  </si>
  <si>
    <t>Follows GHD report for ERA 2028/29 Table 19 but using updated WP pricing</t>
  </si>
  <si>
    <t>Collie PWS</t>
  </si>
  <si>
    <t>WCPS</t>
  </si>
  <si>
    <t>Cunderdin Solar Farm</t>
  </si>
  <si>
    <t>WCSF</t>
  </si>
  <si>
    <t>Pinjar GTS</t>
  </si>
  <si>
    <t>Emu Downs</t>
  </si>
  <si>
    <t>WEMD</t>
  </si>
  <si>
    <t>Newgen Neerabup</t>
  </si>
  <si>
    <t>Geraldton</t>
  </si>
  <si>
    <t>WGTN</t>
  </si>
  <si>
    <t>Yandin Wind Farm</t>
  </si>
  <si>
    <t>Greenough Solar Farm</t>
  </si>
  <si>
    <t>TMSG</t>
  </si>
  <si>
    <t>Kemerton PWS</t>
  </si>
  <si>
    <t>WKEM</t>
  </si>
  <si>
    <t>Kwinana Alcoa</t>
  </si>
  <si>
    <t>WAKW</t>
  </si>
  <si>
    <t>Kwinana BESS</t>
  </si>
  <si>
    <t>WKWB</t>
  </si>
  <si>
    <t>Kwinana Donaldson Road</t>
  </si>
  <si>
    <t>WKND</t>
  </si>
  <si>
    <t>Kwinana PWS</t>
  </si>
  <si>
    <t>WKPS</t>
  </si>
  <si>
    <t>Kwinana Waste to Energy</t>
  </si>
  <si>
    <t>WKWW</t>
  </si>
  <si>
    <t>Landwehr (Alinta)</t>
  </si>
  <si>
    <t>WLWT</t>
  </si>
  <si>
    <t>Mason Road</t>
  </si>
  <si>
    <t>WNSF</t>
  </si>
  <si>
    <t>Merredin Power Station</t>
  </si>
  <si>
    <t>TMDP</t>
  </si>
  <si>
    <t>Merredin Solar Farm</t>
  </si>
  <si>
    <t>WMSF</t>
  </si>
  <si>
    <t>Muja PWS</t>
  </si>
  <si>
    <t>WMPS</t>
  </si>
  <si>
    <t>Mumbida Wind Farm</t>
  </si>
  <si>
    <t>TMMB</t>
  </si>
  <si>
    <t>Mungarra GTS</t>
  </si>
  <si>
    <t>WMGA</t>
  </si>
  <si>
    <t>Neerabup BESS</t>
  </si>
  <si>
    <t>WPMB</t>
  </si>
  <si>
    <t>Newgen Kwinana</t>
  </si>
  <si>
    <t>WNGK</t>
  </si>
  <si>
    <t>WGNN</t>
  </si>
  <si>
    <t>Oakey (Alinta)</t>
  </si>
  <si>
    <t>WOLY</t>
  </si>
  <si>
    <t>Parkeston</t>
  </si>
  <si>
    <t>WPKS</t>
  </si>
  <si>
    <t>WPJR</t>
  </si>
  <si>
    <t>Synergy Collie BESS</t>
  </si>
  <si>
    <t>WCBB</t>
  </si>
  <si>
    <t>TiWest GT</t>
  </si>
  <si>
    <t>WKMN</t>
  </si>
  <si>
    <t>Wagerup</t>
  </si>
  <si>
    <t>WWGP</t>
  </si>
  <si>
    <t>Walkaway Windfarm</t>
  </si>
  <si>
    <t>WWWF</t>
  </si>
  <si>
    <t>Warradarge Wind Farm</t>
  </si>
  <si>
    <t>WWDW</t>
  </si>
  <si>
    <t>West Kalgoorlie GT</t>
  </si>
  <si>
    <t>WWKT</t>
  </si>
  <si>
    <t>Worsley</t>
  </si>
  <si>
    <t>WWDL</t>
  </si>
  <si>
    <t>WYDW</t>
  </si>
  <si>
    <t>Control System Service Price (Generators)</t>
  </si>
  <si>
    <t>cents/kW/day</t>
  </si>
  <si>
    <t>Control system service price (Generators)</t>
  </si>
  <si>
    <t>Metering price</t>
  </si>
  <si>
    <t>cents/meter/day</t>
  </si>
  <si>
    <t>TRT1, TRT2 and TRT3</t>
  </si>
  <si>
    <t>Cost ref date:</t>
  </si>
  <si>
    <t>Compressors</t>
  </si>
  <si>
    <t>$M/MW</t>
  </si>
  <si>
    <t>GHD for AEMO Jun24</t>
  </si>
  <si>
    <t>Pipe</t>
  </si>
  <si>
    <t>$/in/km</t>
  </si>
  <si>
    <t>Land</t>
  </si>
  <si>
    <t>$M/Ha</t>
  </si>
  <si>
    <t>Compressor station land.  Pipeline easement cost not calculated.  Gas receival station included in powerplant land</t>
  </si>
  <si>
    <t>Area:</t>
  </si>
  <si>
    <t>For gas compressor station aat top of lateral</t>
  </si>
  <si>
    <t>Pipeline distance</t>
  </si>
  <si>
    <t>km</t>
  </si>
  <si>
    <t>Fat lateral case (for gas only configs)</t>
  </si>
  <si>
    <t>Storage hours</t>
  </si>
  <si>
    <t>hours</t>
  </si>
  <si>
    <t>Storage is the length of a 36 inch pipe needed to contain the required fuel for a run, between the two pressure ranges</t>
  </si>
  <si>
    <t>Recharge hours</t>
  </si>
  <si>
    <t>Allowance for facilities</t>
  </si>
  <si>
    <t>A nominal allowance</t>
  </si>
  <si>
    <t>Min lateral pressure higher than engine/GT pressure</t>
  </si>
  <si>
    <t>Bar</t>
  </si>
  <si>
    <t>Compressor</t>
  </si>
  <si>
    <t>Lateral</t>
  </si>
  <si>
    <t>Cost, $M</t>
  </si>
  <si>
    <t>Net MW</t>
  </si>
  <si>
    <t>LHV HR</t>
  </si>
  <si>
    <t>HHV HR</t>
  </si>
  <si>
    <t>GJ/h</t>
  </si>
  <si>
    <t>kg/s</t>
  </si>
  <si>
    <t>kg/s recharge</t>
  </si>
  <si>
    <t>Power, MW</t>
  </si>
  <si>
    <t>GT/Engine P ratio</t>
  </si>
  <si>
    <t>Pmin Mpa</t>
  </si>
  <si>
    <t>Facilities</t>
  </si>
  <si>
    <t>Comp land</t>
  </si>
  <si>
    <t>$/kW</t>
  </si>
  <si>
    <t>SCGT _GT13E2 _GasOnly</t>
  </si>
  <si>
    <t>SCGT _SGT5-2000E _GasOnly</t>
  </si>
  <si>
    <t>SCGT _1x9FA _GasOnly</t>
  </si>
  <si>
    <t>SCGT _LM2500 _GasOnly</t>
  </si>
  <si>
    <t>SCGT _LM6000 _GasOnly</t>
  </si>
  <si>
    <t>SCGT _LMS100 _GasOnly</t>
  </si>
  <si>
    <t>CCGT _9FA _GasOnly</t>
  </si>
  <si>
    <t>CCGT _GT13E2 _GasOnly</t>
  </si>
  <si>
    <t>RECIP _Jenbacher _GasOnly</t>
  </si>
  <si>
    <t>RECIP _Wartsila _GasOnly</t>
  </si>
  <si>
    <t>Skinny lateral case (for DF configs)</t>
  </si>
  <si>
    <t>Config as above except no compressor station needed.  Length is the pipeline distance and diameter simply based on typical flow velocity</t>
  </si>
  <si>
    <t>Flow velocity</t>
  </si>
  <si>
    <t>m/s</t>
  </si>
  <si>
    <t>Reference pressure (typ)</t>
  </si>
  <si>
    <t>MPa</t>
  </si>
  <si>
    <t>DBNGP is MAOP 8.48 Mpag</t>
  </si>
  <si>
    <t>m3/s</t>
  </si>
  <si>
    <t>Dia theor, mm</t>
  </si>
  <si>
    <t>Dia inches</t>
  </si>
  <si>
    <t>SCGT _GT13E2 _DF</t>
  </si>
  <si>
    <t>SCGT _SGT5-2000E _DF</t>
  </si>
  <si>
    <t>SCGT _1x9FA _DF</t>
  </si>
  <si>
    <t>SCGT _LM2500 _DF</t>
  </si>
  <si>
    <t>SCGT _LM6000 _DF</t>
  </si>
  <si>
    <t>SCGT _LMS100 _DF</t>
  </si>
  <si>
    <t>CCGT _9FA _DF</t>
  </si>
  <si>
    <t>CCGT _GT13E2 _DF</t>
  </si>
  <si>
    <t>RECIP _Jenbacher _DF</t>
  </si>
  <si>
    <t>RECIP _Wartsila _DF</t>
  </si>
  <si>
    <t>In DF cases the RCP is certified on distillate.  That the plant might elsewise run on gas does not charge MDQ against the RCP function.  That is assumed from Portfolio gas the generator may have.  MDQ=0 for RCP</t>
  </si>
  <si>
    <t>https://www.erawa.com.au/access/gas-access/dampier-to-bunbury-natural-gas-pipeline/tariff-variations</t>
  </si>
  <si>
    <t>Gas cost for WC calc</t>
  </si>
  <si>
    <t>Working capital is minor factor.  Only an approximate cost is necessary</t>
  </si>
  <si>
    <t>Assumed gas cost</t>
  </si>
  <si>
    <t>$/GJ</t>
  </si>
  <si>
    <t>EPWA non-residential pricing 2026-27.  Will over-estimate costs to a power generator, but adopted</t>
  </si>
  <si>
    <t>https://www.wa.gov.au/organisation/energy-policy-wa/business-and-government-gas-pricing</t>
  </si>
  <si>
    <t>Factors used in calcs</t>
  </si>
  <si>
    <t>HHV/LHV</t>
  </si>
  <si>
    <t>GJ/tonne</t>
  </si>
  <si>
    <t>Gas commpressor</t>
  </si>
  <si>
    <t>One stage</t>
  </si>
  <si>
    <t>k</t>
  </si>
  <si>
    <t>Tin</t>
  </si>
  <si>
    <t>C</t>
  </si>
  <si>
    <t>P2</t>
  </si>
  <si>
    <t>MAOP - a margin</t>
  </si>
  <si>
    <t>P1</t>
  </si>
  <si>
    <t>P2/P1</t>
  </si>
  <si>
    <t>T2/T1</t>
  </si>
  <si>
    <t>T2</t>
  </si>
  <si>
    <t>M</t>
  </si>
  <si>
    <t>t/h</t>
  </si>
  <si>
    <t>Pis</t>
  </si>
  <si>
    <t>kW</t>
  </si>
  <si>
    <t>per (kg/s)</t>
  </si>
  <si>
    <t>effic</t>
  </si>
  <si>
    <t>Natural gas at 41C</t>
  </si>
  <si>
    <t>P</t>
  </si>
  <si>
    <t>Z</t>
  </si>
  <si>
    <t>Density</t>
  </si>
  <si>
    <t>Mpa</t>
  </si>
  <si>
    <t>kg/m3</t>
  </si>
  <si>
    <t>inch</t>
  </si>
  <si>
    <t>mm ID</t>
  </si>
  <si>
    <t>m2</t>
  </si>
  <si>
    <t>m3/km</t>
  </si>
  <si>
    <t>Storage/km</t>
  </si>
  <si>
    <t>Mpa LP from 13 Mpa</t>
  </si>
  <si>
    <t>kg/km</t>
  </si>
  <si>
    <t>GJ/km</t>
  </si>
  <si>
    <t>Skinny pipe diameters</t>
  </si>
  <si>
    <t>Nominal Size (NPS), in</t>
  </si>
  <si>
    <t>Outside Diameter (mm)</t>
  </si>
  <si>
    <t>Approximate Internal Diameter (mm)</t>
  </si>
  <si>
    <t>Data for LOCATION: PERTH</t>
  </si>
  <si>
    <t>Time is native time for database (UTC+0)</t>
  </si>
  <si>
    <t>Terminal Gate Price for Automotive Distillate in Australia, AUD cents per litre including GST</t>
  </si>
  <si>
    <t>Citation: Shell Australia and Viva Energy website, ad-hoc times</t>
  </si>
  <si>
    <t>PRICE c/L</t>
  </si>
  <si>
    <t>Excise</t>
  </si>
  <si>
    <t>Less GST and excise</t>
  </si>
  <si>
    <t>c/L</t>
  </si>
  <si>
    <t>Add allowance for transport etc</t>
  </si>
  <si>
    <t>Transport to PS plus margin</t>
  </si>
  <si>
    <t>Delivered cost</t>
  </si>
  <si>
    <t>kg/L</t>
  </si>
  <si>
    <t>HHV</t>
  </si>
  <si>
    <t>GJ/t</t>
  </si>
  <si>
    <t>Cost</t>
  </si>
  <si>
    <t>Sources:</t>
  </si>
  <si>
    <t>Historical CPI</t>
  </si>
  <si>
    <t>RBA</t>
  </si>
  <si>
    <t>https://www.rba.gov.au/statistics/tables/xls/g01hist.xlsx?v=2026-07-22-16-00-57</t>
  </si>
  <si>
    <t>Projected CPI</t>
  </si>
  <si>
    <t>Historical fx</t>
  </si>
  <si>
    <t>https://www.rba.gov.au/statistics/tables/xls-hist/2023-current.xls?v=2026-07-02-11-27-20</t>
  </si>
  <si>
    <t xml:space="preserve">F11.1  EXCHANGE RATES </t>
  </si>
  <si>
    <t>G1 CONSUMER PRICE INFLATION</t>
  </si>
  <si>
    <t>Index</t>
  </si>
  <si>
    <t>Title</t>
  </si>
  <si>
    <t>A$1=USD</t>
  </si>
  <si>
    <t>Consumer price index</t>
  </si>
  <si>
    <t>Description</t>
  </si>
  <si>
    <t>AUD/USD Exchange Rate; see notes for further detail.</t>
  </si>
  <si>
    <t>Consumer price index; All groups</t>
  </si>
  <si>
    <t>Frequency</t>
  </si>
  <si>
    <t>Daily</t>
  </si>
  <si>
    <t>Quarterly</t>
  </si>
  <si>
    <t>Type</t>
  </si>
  <si>
    <t>Indicative</t>
  </si>
  <si>
    <t>Original</t>
  </si>
  <si>
    <t>Units</t>
  </si>
  <si>
    <t>USD</t>
  </si>
  <si>
    <t>Index, September 2025 month = 100</t>
  </si>
  <si>
    <t>Assume mid range of target band</t>
  </si>
  <si>
    <t>Source</t>
  </si>
  <si>
    <t>WM/Reuters</t>
  </si>
  <si>
    <t>ABS / RBA</t>
  </si>
  <si>
    <t>Publication date</t>
  </si>
  <si>
    <t>30-Apr-2026</t>
  </si>
  <si>
    <t>Series ID</t>
  </si>
  <si>
    <t>FXRUSD</t>
  </si>
  <si>
    <t>GCPIAG</t>
  </si>
  <si>
    <t>2026 ISP Inputs and Assumptions Workbook</t>
  </si>
  <si>
    <t>https://www.aemo.com.au/-/media/files/major-publications/isp/2026/supporting-materials/2026-isp-inputs-and-assumptions-workbook.xlsm?rev=de6f5853cd5e4d5cbb06bc90bdf0e378&amp;sc_lang=en</t>
  </si>
  <si>
    <t>Filtered to only include relevant technologies, and for 'Step change'</t>
  </si>
  <si>
    <t>Capital cost projections ($/kW, real 2025 dollars)</t>
  </si>
  <si>
    <t>Cost to construct new generation, excluding connection costs where these are provided in the Connection cost tab.</t>
  </si>
  <si>
    <t>These capital cost trajectories are developed by CSIRO's GALLM (see GenCost 2025-26 Consultation draft for more details) based on the technology specific capital cost estimates provided by GHD (2025 Energy Technology Cost and Technical Parameter Review).</t>
  </si>
  <si>
    <t>To calculate the capital costs of these technologies elsewhere in Australia, multiply these capacital cost with the appropriate locational cost factor given in the Locational Cost Factors worksheet.</t>
  </si>
  <si>
    <t>The build costs do not include costs associated with expanded transmission access or additional costs incurred when development within a REZ exceeds technology limits. Details on these additional costs are found in the Build limits tab.</t>
  </si>
  <si>
    <t>The financial years in table are mapped to the preceding calendar year in the GenCost 2025-26 Consultation Draft.</t>
  </si>
  <si>
    <t>Build costs</t>
  </si>
  <si>
    <t>Technology1</t>
  </si>
  <si>
    <t>GenCost Scenario</t>
  </si>
  <si>
    <t>IASR Scenario</t>
  </si>
  <si>
    <t>2024-25</t>
  </si>
  <si>
    <t>2025-26</t>
  </si>
  <si>
    <t>2026-27</t>
  </si>
  <si>
    <t>2027-28</t>
  </si>
  <si>
    <t>2028-29</t>
  </si>
  <si>
    <t>2029-30</t>
  </si>
  <si>
    <t>2030-31</t>
  </si>
  <si>
    <t>2026-27 cost excluding land and connections</t>
  </si>
  <si>
    <t>Calculated.  Applied since Thermoflow costs do not include these elements and they are applied later</t>
  </si>
  <si>
    <t>GenCost Global NZE post 2050</t>
  </si>
  <si>
    <t>Step Change</t>
  </si>
  <si>
    <t>CSIRO GenCost 2025-26 Consultation Draft</t>
  </si>
  <si>
    <t>Not Applicable</t>
  </si>
  <si>
    <t>Not in IASR.  Taken from CSIRO GenCost 2025_26</t>
  </si>
  <si>
    <t>Large scale Solar PV</t>
  </si>
  <si>
    <t>Battery storage (4hrs storage)</t>
  </si>
  <si>
    <t>Interpolated</t>
  </si>
  <si>
    <t>Wind</t>
  </si>
  <si>
    <t>1. To reflect short-term cost pressures, BOTN (Cethana) has been adjusted using the same factor applied to Pumped Hydro (24hrs storage) in GenCost 2024-25 Final report.</t>
  </si>
  <si>
    <t>2. The capital cost for Distributed Resources Solar and Distributed Resources Batteries, as provided in the Aurecon 2024 Energy Technology Cost and Technical Parameter Review, are assumed to have the same trajectory as that of their transmission-connected counterparts.</t>
  </si>
  <si>
    <t xml:space="preserve">3. AEMO will add an additonal cost to the overnight capital cost of Alkaline Electrolysers as stated in this table to represent cost associated with pipelines. </t>
  </si>
  <si>
    <t>4. Distributed Resources Solar and Distributed Resources Batteries are alternate names for mid-scale generation and storage.</t>
  </si>
  <si>
    <t>Fixed operating and maintenance cost (real 2025 dollars)</t>
  </si>
  <si>
    <t>Costs that are incurred regardless of energy generated.</t>
  </si>
  <si>
    <t>New entrant technologies</t>
  </si>
  <si>
    <t>Technology Type</t>
  </si>
  <si>
    <t>Base value ($/kW/year))</t>
  </si>
  <si>
    <t>Notes:</t>
  </si>
  <si>
    <t>1. Sourced from Aurecon 2024 Energy Technology Cost and Technical Parameter Review including cost escalation.</t>
  </si>
  <si>
    <t>2. Wind, Large-Scale Solar PV and Solar Thermal Variable O&amp;M costs are assumed to be included in the Fixed O&amp;M costs as per Aurecon's report.</t>
  </si>
  <si>
    <t>3. The cost of extended warranties are included in the Fixed O&amp;M costs for Battery storage to cover a 20-year battery life.</t>
  </si>
  <si>
    <t>Variable operating and maintenance cost (real 2025 dollars)</t>
  </si>
  <si>
    <t>Costs that can be expressed in terms of energy generated, not including fuel costs.</t>
  </si>
  <si>
    <t>Generator</t>
  </si>
  <si>
    <t>Base value</t>
  </si>
  <si>
    <t>Not in IASR.  Jacobs</t>
  </si>
  <si>
    <t xml:space="preserve">1. Sourced from Aurecon 2024 Energy Technology Cost and Technical Parameter Review, cost adjusted. </t>
  </si>
  <si>
    <t>2. Wind, Large-scale Solar PV, Solar Thermal, Pumped Hydro and Electrolyser O&amp;M costs are assumed</t>
  </si>
  <si>
    <t>to be included in the Fixed O&amp;M costs as per Aurecon's report.</t>
  </si>
  <si>
    <t xml:space="preserve">Technology cost breakdown ratios </t>
  </si>
  <si>
    <t>Technology</t>
  </si>
  <si>
    <t>Equipment costs</t>
  </si>
  <si>
    <t>Fuel connection costs</t>
  </si>
  <si>
    <t>Cost of land and development</t>
  </si>
  <si>
    <t>Installation costs</t>
  </si>
  <si>
    <t>Topographical cost</t>
  </si>
  <si>
    <t>Instalation costs excl land and connections</t>
  </si>
  <si>
    <t>Not in IASR.  Assumed sim to small GT</t>
  </si>
  <si>
    <t>Battery Storage (8hrs storage)</t>
  </si>
  <si>
    <t>1. Calculated from technology component costs provided in Aurecon 2024 Energy Technology Cost and Technical Parameter Review.</t>
  </si>
  <si>
    <t>Lead time and project life</t>
  </si>
  <si>
    <t>Development lead time considers the time necessary to undertake feasibility studies, secure necessary development approvals, and to construct the project. For capacity planning therefore, the lead time reflects the shortest time before a technology can commence operation.</t>
  </si>
  <si>
    <t xml:space="preserve">Parameters for all technologies are sourced from Aurecon 2024 Energy Technology Cost and Technical Parameter Review. </t>
  </si>
  <si>
    <t>Lead time for development (years)1, 2</t>
  </si>
  <si>
    <t>Lead time (years)3</t>
  </si>
  <si>
    <t>Construction time (years)</t>
  </si>
  <si>
    <t>Total lead time (years)4,7</t>
  </si>
  <si>
    <t>Economic life (years)5</t>
  </si>
  <si>
    <t>Technical life (years)6</t>
  </si>
  <si>
    <t>Not in IASR.   Jacobs</t>
  </si>
  <si>
    <t>1. Aurecon has assumed that lead time for development is the time to undertake feasibility studies, procurement and contract negotiations, obtain permits and approvals, secure land agreements, fuel supply and obtain financing.</t>
  </si>
  <si>
    <t>2. Given existing development activity in these technologies, AEMO has assumed no lead time for development for onshore wind, batteries, large-scale solar PV, Distributed Resources Solar,and Distributed Resources Batteries.</t>
  </si>
  <si>
    <t>3. Aurecon has assumed lead time as the time from issue of Notice to Proceed (NTP) to the EPC contractor up to the delivery of all major equipment to site.</t>
  </si>
  <si>
    <t>4. Aurecon has provided some components of lead time in weeks or fractions of years. AEMO has rounded the total lead time to the nearest whole number of years.</t>
  </si>
  <si>
    <t>5. Period of time required for the project to pay off its build costs.</t>
  </si>
  <si>
    <t>6. Period of time the project is operational before life extension refurbishment or retirement may be required.</t>
  </si>
  <si>
    <t>7. AEMO proposes to apply the total leadtime from the date of the Generation Information that is used in the ISP modelling</t>
  </si>
  <si>
    <t xml:space="preserve">GT PRO Classic 33.0 </t>
  </si>
  <si>
    <t>Program revision date: July 17, 2026</t>
  </si>
  <si>
    <t>Note: Cost reference date is March 2025 for most configurations in current database</t>
  </si>
  <si>
    <t>PEACE:</t>
  </si>
  <si>
    <t xml:space="preserve">DF </t>
  </si>
  <si>
    <t xml:space="preserve">GasOnly </t>
  </si>
  <si>
    <t>Project Cost Summary</t>
  </si>
  <si>
    <t>Estimated Cost</t>
  </si>
  <si>
    <t xml:space="preserve">      I    Specialized Equipment</t>
  </si>
  <si>
    <t xml:space="preserve">      II   Other Equipment</t>
  </si>
  <si>
    <t xml:space="preserve">      III  Civil</t>
  </si>
  <si>
    <t xml:space="preserve">      IV   Mechanical</t>
  </si>
  <si>
    <t xml:space="preserve">      V    Electrical Assembly &amp; Wiring</t>
  </si>
  <si>
    <t xml:space="preserve">      VI   Buildings &amp; Structures</t>
  </si>
  <si>
    <t xml:space="preserve">      VII  Engineering &amp; Plant Startup</t>
  </si>
  <si>
    <t>Gasification Plant</t>
  </si>
  <si>
    <t>Desalination Plant</t>
  </si>
  <si>
    <t>CO2 Capture Plant</t>
  </si>
  <si>
    <t>Subtotal - Contractor's Internal Cost</t>
  </si>
  <si>
    <t xml:space="preserve">      VIII Contractor's Soft &amp; Miscellaneous Costs</t>
  </si>
  <si>
    <t>Contractor's Price</t>
  </si>
  <si>
    <t xml:space="preserve">      IX Owner's Soft &amp; Miscellaneous Costs</t>
  </si>
  <si>
    <t>Battery Storage System</t>
  </si>
  <si>
    <t>Total - Owner's Cost</t>
  </si>
  <si>
    <t>Net Plant Output</t>
  </si>
  <si>
    <t>MW</t>
  </si>
  <si>
    <t>Price per kW - Contractor's</t>
  </si>
  <si>
    <t>USD per kW</t>
  </si>
  <si>
    <t>Cost per kW - Owner's</t>
  </si>
  <si>
    <t>Contractor's soft cost override, USD/kW</t>
  </si>
  <si>
    <t>USD/kW</t>
  </si>
  <si>
    <t>Thermoflow values applied are inconsistent across the page for similarly sized and risky projects.  Considered not suitable for comparison across technologies.  Applied: USD250/kW for SCGT and recips and USD350/kW for CCGT (additional complexity and risk)</t>
  </si>
  <si>
    <t>- value applied</t>
  </si>
  <si>
    <t>EPC cost (Contractor's price).  Excludes owners costs and connections etc, overnight</t>
  </si>
  <si>
    <t>Owner's cost</t>
  </si>
  <si>
    <t>Total powerplant</t>
  </si>
  <si>
    <t>Indicative % of installation cost that is labour</t>
  </si>
  <si>
    <t>Effective Labor Rates:</t>
  </si>
  <si>
    <t>Cost per Hour</t>
  </si>
  <si>
    <t xml:space="preserve">   Civil Account</t>
  </si>
  <si>
    <t xml:space="preserve">   Mechanical Account</t>
  </si>
  <si>
    <t xml:space="preserve">   Electrical Account</t>
  </si>
  <si>
    <t>Site ambient conditions: 1.001  bar, 41 C, 20% Rel. Hum. (22.62 C WB), line frequency 50 Hz.  Performance on nat gas uno</t>
  </si>
  <si>
    <t>TECHNICAL:</t>
  </si>
  <si>
    <t>Config</t>
  </si>
  <si>
    <t>2 GE GT13E2</t>
  </si>
  <si>
    <t>2 SGT5-2000E</t>
  </si>
  <si>
    <t>One GE 9FA.04</t>
  </si>
  <si>
    <t>12 GE LM2500-G4</t>
  </si>
  <si>
    <t>6 GE LM6KPFSPT</t>
  </si>
  <si>
    <t>4 GE LMS100PB</t>
  </si>
  <si>
    <t>24 INNIO J920</t>
  </si>
  <si>
    <t>12 WRT 18V50SG</t>
  </si>
  <si>
    <t>Tflow model</t>
  </si>
  <si>
    <t>Gross kW</t>
  </si>
  <si>
    <t>Net kW</t>
  </si>
  <si>
    <t>Net HR LHV MJ/MWh</t>
  </si>
  <si>
    <t>Gas pressure at skid, Bara</t>
  </si>
  <si>
    <t>Water (kg/s):</t>
  </si>
  <si>
    <t>- Fogger</t>
  </si>
  <si>
    <t>- GT injection or ext cooling</t>
  </si>
  <si>
    <t>- Steam cycle (note zero blowdown in model)</t>
  </si>
  <si>
    <t>- Cooling tower</t>
  </si>
  <si>
    <t>Site (incl switchyard):</t>
  </si>
  <si>
    <t>- Area, Ha</t>
  </si>
  <si>
    <t>- Lx m</t>
  </si>
  <si>
    <t>- Ly m</t>
  </si>
  <si>
    <t>Factors extracted from Rawlinson's Australian Cost Handbook, 2026 ed</t>
  </si>
  <si>
    <t>Factors extracted to evaluate locational cost relativities between 'near Melbourne' - the reference location for IASR/GenCost, and 'near Perth'</t>
  </si>
  <si>
    <t>Costs are Q2 2026 uno</t>
  </si>
  <si>
    <t>Regional indices (re Perth = 100)</t>
  </si>
  <si>
    <t>Approx Distance from Perth CBD (km)</t>
  </si>
  <si>
    <t>Site</t>
  </si>
  <si>
    <t>Selected location</t>
  </si>
  <si>
    <t>Regional factor adopted</t>
  </si>
  <si>
    <t>These are costs at regional location re Perth = 100</t>
  </si>
  <si>
    <t>Perth</t>
  </si>
  <si>
    <t>Moora</t>
  </si>
  <si>
    <t>Perth CBD</t>
  </si>
  <si>
    <t>Jurien Bay</t>
  </si>
  <si>
    <t>Yanchep</t>
  </si>
  <si>
    <t>Mandurah</t>
  </si>
  <si>
    <t>Pinjarra</t>
  </si>
  <si>
    <t>Toodyay</t>
  </si>
  <si>
    <t>Northam</t>
  </si>
  <si>
    <t>York</t>
  </si>
  <si>
    <t>Harvey</t>
  </si>
  <si>
    <t>Bunbury</t>
  </si>
  <si>
    <t>Wongan Hills</t>
  </si>
  <si>
    <t>Perth factor - labour</t>
  </si>
  <si>
    <t>Costs at Perth re Mebourne environs = 100</t>
  </si>
  <si>
    <t>Narrogin</t>
  </si>
  <si>
    <t>Perth factor - other</t>
  </si>
  <si>
    <t>Collie</t>
  </si>
  <si>
    <t>Dalwallinu</t>
  </si>
  <si>
    <t>Merredin</t>
  </si>
  <si>
    <t>Bridgetown</t>
  </si>
  <si>
    <t>Margaret River</t>
  </si>
  <si>
    <t>Katanning</t>
  </si>
  <si>
    <t>Manjimup</t>
  </si>
  <si>
    <t>Factories (buildings), large span, heavy industries, tilt-up</t>
  </si>
  <si>
    <t>Melbourne</t>
  </si>
  <si>
    <t>Factor</t>
  </si>
  <si>
    <t>Range min</t>
  </si>
  <si>
    <t>$/m2</t>
  </si>
  <si>
    <t>Range max</t>
  </si>
  <si>
    <t>Mid (calc.)</t>
  </si>
  <si>
    <t>Raft foundations, 25MPa incl reinforement</t>
  </si>
  <si>
    <t>Value</t>
  </si>
  <si>
    <t>$/m3</t>
  </si>
  <si>
    <t>Structural steelwork (250 UC 89.5, plain steel, supply and erect)</t>
  </si>
  <si>
    <t>Labour (Average contract charge out rates)</t>
  </si>
  <si>
    <t>$/h</t>
  </si>
  <si>
    <t>Trade</t>
  </si>
  <si>
    <t>Range Min</t>
  </si>
  <si>
    <t>Range Max</t>
  </si>
  <si>
    <t>Mid(calc.)</t>
  </si>
  <si>
    <t>Bricklayer</t>
  </si>
  <si>
    <t>Carpenter/Joiner</t>
  </si>
  <si>
    <t>Painter/Glazier</t>
  </si>
  <si>
    <t>Plasterer</t>
  </si>
  <si>
    <t>Plumber/Drainer</t>
  </si>
  <si>
    <t>Labourer Group 1</t>
  </si>
  <si>
    <t>Labourer Group 2</t>
  </si>
  <si>
    <t>Labourer Group 3</t>
  </si>
  <si>
    <t>Labourer Group 4</t>
  </si>
  <si>
    <t>Refrigeration Fitter</t>
  </si>
  <si>
    <t>Sheet Metalworker Class 1</t>
  </si>
  <si>
    <t>Sheet Metalworker Class 2</t>
  </si>
  <si>
    <t>Lagger</t>
  </si>
  <si>
    <t>Electrician</t>
  </si>
  <si>
    <t>Plumber</t>
  </si>
  <si>
    <t>Electrical Installer</t>
  </si>
  <si>
    <t>Landgate for ERA</t>
  </si>
  <si>
    <t>Land Area (Hectares)</t>
  </si>
  <si>
    <t>Rate per Hectare</t>
  </si>
  <si>
    <t>Assessed Value (Rounded)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</si>
</sst>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43" formatCode="_-* #,##0.00_-;\-* #,##0.00_-;_-* &quot;-&quot;??_-;_-@_-"/>
    <numFmt numFmtId="164" formatCode="#,##0.0_);\(#,##0.0\)"/>
    <numFmt numFmtId="165" formatCode="_-* #,##0.0_-;\-* #,##0.0_-;_-* &quot;-&quot;??_-;_-@_-"/>
    <numFmt numFmtId="166" formatCode="0.0"/>
    <numFmt numFmtId="167" formatCode=";;;"/>
    <numFmt numFmtId="168" formatCode="_-* #,##0_-;\-* #,##0_-;_-* &quot;-&quot;??_-;_-@_-"/>
    <numFmt numFmtId="169" formatCode="_(* #,##0_);_(* \(#,##0\);_(* &quot;-&quot;??_);_(@_)"/>
    <numFmt numFmtId="170" formatCode="0.0000"/>
    <numFmt numFmtId="171" formatCode="0.000"/>
    <numFmt numFmtId="172" formatCode="0.0%"/>
    <numFmt numFmtId="173" formatCode="dd\-mmm\-yyyy"/>
    <numFmt numFmtId="174" formatCode="mmm\-yyyy"/>
    <numFmt numFmtId="175" formatCode="#,##0.0"/>
    <numFmt numFmtId="176" formatCode="#,##0_ ;[Red]\-#,##0\ "/>
  </numFmts>
  <fonts count="62">
    <font>
      <sz val="11"/>
      <color theme="1"/>
      <name val="Jacobs Chronos"/>
      <family val="2"/>
      <scheme val="major"/>
    </font>
    <font>
      <sz val="11"/>
      <color theme="1"/>
      <name val="Jacobs Chronos Light"/>
      <family val="2"/>
      <scheme val="minor"/>
    </font>
    <font>
      <sz val="11"/>
      <color theme="1"/>
      <name val="Jacobs Chronos Light"/>
      <family val="2"/>
      <scheme val="minor"/>
    </font>
    <font>
      <sz val="11"/>
      <color theme="1"/>
      <name val="Jacobs Chronos Light"/>
      <family val="2"/>
      <scheme val="minor"/>
    </font>
    <font>
      <sz val="11"/>
      <color rgb="FF9C0006"/>
      <name val="Jacobs Chronos"/>
      <family val="2"/>
      <scheme val="major"/>
    </font>
    <font>
      <sz val="11"/>
      <color rgb="FF006100"/>
      <name val="Jacobs Chronos"/>
      <family val="2"/>
      <scheme val="major"/>
    </font>
    <font>
      <sz val="11"/>
      <color rgb="FF9C5700"/>
      <name val="Jacobs Chronos"/>
      <family val="2"/>
      <scheme val="major"/>
    </font>
    <font>
      <b/>
      <sz val="11"/>
      <color rgb="FFFA7D00"/>
      <name val="Jacobs Chronos"/>
      <family val="2"/>
      <scheme val="major"/>
    </font>
    <font>
      <b/>
      <sz val="11"/>
      <color theme="0"/>
      <name val="Jacobs Chronos"/>
      <family val="2"/>
      <scheme val="major"/>
    </font>
    <font>
      <i/>
      <sz val="11"/>
      <color rgb="FF7F7F7F"/>
      <name val="Jacobs Chronos"/>
      <family val="2"/>
      <scheme val="major"/>
    </font>
    <font>
      <sz val="11"/>
      <color rgb="FF3F3F76"/>
      <name val="Jacobs Chronos"/>
      <family val="2"/>
      <scheme val="major"/>
    </font>
    <font>
      <sz val="11"/>
      <color rgb="FFFA7D00"/>
      <name val="Jacobs Chronos"/>
      <family val="2"/>
      <scheme val="major"/>
    </font>
    <font>
      <b/>
      <sz val="11"/>
      <color rgb="FF3F3F3F"/>
      <name val="Jacobs Chronos"/>
      <family val="2"/>
      <scheme val="major"/>
    </font>
    <font>
      <sz val="11"/>
      <color rgb="FFFF0000"/>
      <name val="Jacobs Chronos"/>
      <family val="2"/>
      <scheme val="major"/>
    </font>
    <font>
      <sz val="11"/>
      <color theme="1"/>
      <name val="Jacobs Chronos"/>
      <family val="2"/>
      <scheme val="major"/>
    </font>
    <font>
      <b/>
      <sz val="15"/>
      <color theme="3"/>
      <name val="Jacobs Chronos Light"/>
      <family val="2"/>
      <scheme val="minor"/>
    </font>
    <font>
      <b/>
      <sz val="13"/>
      <color theme="3"/>
      <name val="Jacobs Chronos Light"/>
      <family val="2"/>
      <scheme val="minor"/>
    </font>
    <font>
      <b/>
      <sz val="11"/>
      <color theme="3"/>
      <name val="Jacobs Chronos Light"/>
      <family val="2"/>
      <scheme val="minor"/>
    </font>
    <font>
      <b/>
      <sz val="11"/>
      <color theme="1"/>
      <name val="Jacobs Chronos Light"/>
      <family val="2"/>
      <scheme val="minor"/>
    </font>
    <font>
      <sz val="11"/>
      <color theme="0"/>
      <name val="Jacobs Chronos Light"/>
      <family val="2"/>
      <scheme val="minor"/>
    </font>
    <font>
      <b/>
      <sz val="14"/>
      <color indexed="12"/>
      <name val="Arial"/>
      <family val="2"/>
    </font>
    <font>
      <b/>
      <sz val="11"/>
      <color indexed="17"/>
      <name val="Arial"/>
      <family val="2"/>
    </font>
    <font>
      <b/>
      <sz val="11"/>
      <color indexed="8"/>
      <name val="Arial"/>
      <family val="2"/>
    </font>
    <font>
      <b/>
      <sz val="12"/>
      <name val="Arial"/>
      <family val="2"/>
    </font>
    <font>
      <sz val="11"/>
      <color indexed="16"/>
      <name val="Courier New"/>
      <family val="3"/>
    </font>
    <font>
      <b/>
      <sz val="12"/>
      <color indexed="17"/>
      <name val="Arial"/>
      <family val="2"/>
    </font>
    <font>
      <b/>
      <sz val="11"/>
      <color indexed="16"/>
      <name val="Courier New"/>
      <family val="3"/>
    </font>
    <font>
      <b/>
      <sz val="10"/>
      <name val="Arial"/>
      <family val="2"/>
    </font>
    <font>
      <sz val="11"/>
      <name val="Arial"/>
      <family val="2"/>
    </font>
    <font>
      <b/>
      <i/>
      <sz val="10"/>
      <name val="Arial"/>
      <family val="2"/>
    </font>
    <font>
      <b/>
      <sz val="10"/>
      <color indexed="17"/>
      <name val="Arial"/>
      <family val="2"/>
    </font>
    <font>
      <sz val="10"/>
      <name val="Arial"/>
      <family val="2"/>
    </font>
    <font>
      <b/>
      <sz val="10"/>
      <color indexed="16"/>
      <name val="Arial"/>
      <family val="2"/>
    </font>
    <font>
      <b/>
      <sz val="11"/>
      <color theme="0"/>
      <name val="Jacobs Chronos Light"/>
      <family val="2"/>
      <scheme val="minor"/>
    </font>
    <font>
      <u/>
      <sz val="11"/>
      <color theme="10"/>
      <name val="Jacobs Chronos"/>
      <family val="2"/>
      <scheme val="major"/>
    </font>
    <font>
      <b/>
      <sz val="11"/>
      <color theme="1"/>
      <name val="Jacobs Chronos"/>
      <family val="2"/>
      <scheme val="major"/>
    </font>
    <font>
      <b/>
      <sz val="12"/>
      <color theme="1"/>
      <name val="Jacobs Chronos"/>
      <family val="2"/>
      <scheme val="major"/>
    </font>
    <font>
      <b/>
      <sz val="16"/>
      <color theme="1"/>
      <name val="Jacobs Chronos"/>
      <family val="2"/>
      <scheme val="major"/>
    </font>
    <font>
      <sz val="11"/>
      <color theme="0"/>
      <name val="Jacobs Chronos"/>
      <family val="2"/>
      <scheme val="major"/>
    </font>
    <font>
      <sz val="10"/>
      <color theme="1"/>
      <name val="Arial"/>
      <family val="2"/>
    </font>
    <font>
      <sz val="8"/>
      <color theme="1"/>
      <name val="Arial"/>
      <family val="2"/>
    </font>
    <font>
      <b/>
      <sz val="10"/>
      <color theme="3"/>
      <name val="Arial"/>
      <family val="2"/>
    </font>
    <font>
      <sz val="10"/>
      <color theme="9" tint="-0.499984740745262"/>
      <name val="Arial"/>
      <family val="2"/>
    </font>
    <font>
      <sz val="8"/>
      <color theme="1"/>
      <name val="Jacobs Chronos Light"/>
      <family val="2"/>
      <scheme val="minor"/>
    </font>
    <font>
      <sz val="11"/>
      <color rgb="FFFFFFFF"/>
      <name val="Jacobs Chronos"/>
      <family val="2"/>
      <scheme val="major"/>
    </font>
    <font>
      <sz val="12"/>
      <color theme="1"/>
      <name val="Aptos"/>
      <family val="2"/>
    </font>
    <font>
      <b/>
      <i/>
      <sz val="11"/>
      <color rgb="FF7F7F7F"/>
      <name val="Jacobs Chronos"/>
      <family val="2"/>
      <scheme val="major"/>
    </font>
    <font>
      <b/>
      <sz val="10"/>
      <color theme="1"/>
      <name val="Arial"/>
      <family val="2"/>
    </font>
    <font>
      <sz val="11"/>
      <name val="Jacobs Chronos"/>
      <family val="2"/>
      <scheme val="major"/>
    </font>
    <font>
      <u/>
      <sz val="10"/>
      <color indexed="12"/>
      <name val="Arial"/>
      <family val="2"/>
    </font>
    <font>
      <b/>
      <sz val="9"/>
      <name val="Arial"/>
      <family val="2"/>
    </font>
    <font>
      <sz val="9"/>
      <name val="Arial"/>
      <family val="2"/>
    </font>
    <font>
      <sz val="9"/>
      <color indexed="8"/>
      <name val="Arial"/>
      <family val="2"/>
    </font>
    <font>
      <u/>
      <sz val="9"/>
      <color indexed="12"/>
      <name val="Arial"/>
      <family val="2"/>
    </font>
    <font>
      <sz val="9"/>
      <color theme="1"/>
      <name val="Arial"/>
      <family val="2"/>
    </font>
    <font>
      <sz val="9"/>
      <color rgb="FF000000"/>
      <name val="Arial"/>
      <family val="2"/>
    </font>
    <font>
      <b/>
      <sz val="9"/>
      <color rgb="FF000000"/>
      <name val="Arial"/>
      <family val="2"/>
    </font>
    <font>
      <b/>
      <sz val="11"/>
      <name val="Aptos Narrow"/>
      <family val="2"/>
    </font>
    <font>
      <sz val="11"/>
      <name val="Aptos Narrow"/>
      <family val="2"/>
    </font>
    <font>
      <b/>
      <sz val="14"/>
      <color theme="1"/>
      <name val="Jacobs Chronos"/>
      <family val="2"/>
      <scheme val="major"/>
    </font>
    <font>
      <b/>
      <sz val="12"/>
      <color theme="1"/>
      <name val="Aptos"/>
      <family val="2"/>
    </font>
    <font>
      <sz val="11"/>
      <color rgb="FFFF0000"/>
      <name val="Jacobs Chronos"/>
      <scheme val="major"/>
    </font>
  </fonts>
  <fills count="2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8"/>
      </patternFill>
    </fill>
    <fill>
      <patternFill patternType="solid">
        <fgColor rgb="FFFFFF00"/>
        <bgColor indexed="64"/>
      </patternFill>
    </fill>
    <fill>
      <patternFill patternType="solid">
        <fgColor indexed="22"/>
        <bgColor indexed="64"/>
      </patternFill>
    </fill>
    <fill>
      <patternFill patternType="solid">
        <fgColor indexed="52"/>
        <bgColor indexed="64"/>
      </patternFill>
    </fill>
    <fill>
      <patternFill patternType="solid">
        <fgColor indexed="13"/>
        <bgColor indexed="64"/>
      </patternFill>
    </fill>
    <fill>
      <patternFill patternType="solid">
        <fgColor rgb="FFE9E7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
      <patternFill patternType="solid">
        <fgColor theme="7" tint="0.749992370372631"/>
        <bgColor indexed="64"/>
      </patternFill>
    </fill>
  </fills>
  <borders count="3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theme="0"/>
      </left>
      <right style="medium">
        <color theme="0"/>
      </right>
      <top style="medium">
        <color theme="0"/>
      </top>
      <bottom style="medium">
        <color theme="0"/>
      </bottom>
      <diagonal/>
    </border>
    <border>
      <left style="medium">
        <color theme="0"/>
      </left>
      <right style="medium">
        <color theme="0"/>
      </right>
      <top style="thick">
        <color theme="4" tint="0.499984740745262"/>
      </top>
      <bottom/>
      <diagonal/>
    </border>
    <border>
      <left/>
      <right/>
      <top style="medium">
        <color theme="0"/>
      </top>
      <bottom/>
      <diagonal/>
    </border>
    <border>
      <left style="medium">
        <color rgb="FFFFFFFF"/>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theme="0"/>
      </left>
      <right/>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diagonal/>
    </border>
    <border>
      <left style="medium">
        <color indexed="64"/>
      </left>
      <right/>
      <top style="medium">
        <color indexed="64"/>
      </top>
      <bottom style="medium">
        <color indexed="64"/>
      </bottom>
      <diagonal/>
    </border>
  </borders>
  <cellStyleXfs count="32">
    <xf numFmtId="0" fontId="0" fillId="0" borderId="0"/>
    <xf numFmtId="0" fontId="5" fillId="2" borderId="0" applyNumberFormat="0" applyBorder="0" applyAlignment="0" applyProtection="0"/>
    <xf numFmtId="0" fontId="4" fillId="3" borderId="0" applyNumberFormat="0" applyBorder="0" applyAlignment="0" applyProtection="0"/>
    <xf numFmtId="0" fontId="6" fillId="4" borderId="0" applyNumberFormat="0" applyBorder="0" applyAlignment="0" applyProtection="0"/>
    <xf numFmtId="0" fontId="10" fillId="5" borderId="1" applyNumberFormat="0" applyAlignment="0" applyProtection="0"/>
    <xf numFmtId="0" fontId="12" fillId="6" borderId="2" applyNumberFormat="0" applyAlignment="0" applyProtection="0"/>
    <xf numFmtId="0" fontId="7" fillId="6" borderId="1" applyNumberFormat="0" applyAlignment="0" applyProtection="0"/>
    <xf numFmtId="0" fontId="11" fillId="0" borderId="3" applyNumberFormat="0" applyFill="0" applyAlignment="0" applyProtection="0"/>
    <xf numFmtId="0" fontId="8" fillId="7" borderId="4" applyNumberFormat="0" applyAlignment="0" applyProtection="0"/>
    <xf numFmtId="0" fontId="13" fillId="0" borderId="0" applyNumberFormat="0" applyFill="0" applyBorder="0" applyAlignment="0" applyProtection="0"/>
    <xf numFmtId="0" fontId="9" fillId="0" borderId="0" applyNumberForma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5" fillId="0" borderId="5" applyNumberFormat="0" applyFill="0" applyAlignment="0" applyProtection="0"/>
    <xf numFmtId="0" fontId="16" fillId="0" borderId="6" applyNumberFormat="0" applyFill="0" applyAlignment="0" applyProtection="0"/>
    <xf numFmtId="0" fontId="17" fillId="0" borderId="7" applyNumberFormat="0" applyFill="0" applyAlignment="0" applyProtection="0"/>
    <xf numFmtId="0" fontId="19" fillId="8" borderId="0" applyNumberFormat="0" applyBorder="0" applyAlignment="0" applyProtection="0"/>
    <xf numFmtId="0" fontId="19" fillId="10" borderId="0" applyNumberFormat="0" applyBorder="0" applyAlignment="0" applyProtection="0"/>
    <xf numFmtId="0" fontId="3" fillId="0" borderId="0"/>
    <xf numFmtId="0" fontId="34" fillId="0" borderId="0" applyNumberFormat="0" applyFill="0" applyBorder="0" applyAlignment="0" applyProtection="0"/>
    <xf numFmtId="165" fontId="31" fillId="0" borderId="24" applyNumberFormat="0" applyAlignment="0">
      <alignment horizontal="center"/>
    </xf>
    <xf numFmtId="0" fontId="38" fillId="9" borderId="0" applyNumberFormat="0" applyBorder="0" applyAlignment="0" applyProtection="0"/>
    <xf numFmtId="0" fontId="40" fillId="17" borderId="0" applyFill="0"/>
    <xf numFmtId="165" fontId="31" fillId="15" borderId="24" applyNumberFormat="0" applyAlignment="0">
      <alignment horizontal="center"/>
    </xf>
    <xf numFmtId="0" fontId="38" fillId="8" borderId="0" applyNumberFormat="0" applyBorder="0" applyAlignment="0" applyProtection="0"/>
    <xf numFmtId="0" fontId="31" fillId="0" borderId="0"/>
    <xf numFmtId="0" fontId="49" fillId="0" borderId="0" applyNumberFormat="0" applyFill="0" applyBorder="0" applyAlignment="0" applyProtection="0">
      <alignment vertical="top"/>
      <protection locked="0"/>
    </xf>
    <xf numFmtId="0" fontId="31" fillId="0" borderId="0"/>
    <xf numFmtId="0" fontId="31" fillId="0" borderId="0"/>
    <xf numFmtId="0" fontId="3" fillId="0" borderId="0"/>
    <xf numFmtId="0" fontId="55" fillId="0" borderId="0"/>
    <xf numFmtId="0" fontId="2" fillId="0" borderId="0"/>
  </cellStyleXfs>
  <cellXfs count="202">
    <xf numFmtId="0" fontId="0" fillId="0" borderId="0" xfId="0"/>
    <xf numFmtId="0" fontId="3" fillId="0" borderId="0" xfId="18"/>
    <xf numFmtId="0" fontId="3" fillId="11" borderId="0" xfId="18" applyFill="1"/>
    <xf numFmtId="0" fontId="19" fillId="10" borderId="0" xfId="17" applyAlignment="1">
      <alignment horizontal="center"/>
    </xf>
    <xf numFmtId="0" fontId="20" fillId="12" borderId="8" xfId="18" applyFont="1" applyFill="1" applyBorder="1" applyAlignment="1">
      <alignment vertical="center"/>
    </xf>
    <xf numFmtId="4" fontId="21" fillId="12" borderId="9" xfId="18" applyNumberFormat="1" applyFont="1" applyFill="1" applyBorder="1" applyAlignment="1">
      <alignment horizontal="center" vertical="center"/>
    </xf>
    <xf numFmtId="4" fontId="22" fillId="13" borderId="10" xfId="18" applyNumberFormat="1" applyFont="1" applyFill="1" applyBorder="1" applyAlignment="1">
      <alignment horizontal="center" vertical="center" wrapText="1"/>
    </xf>
    <xf numFmtId="0" fontId="23" fillId="0" borderId="11" xfId="18" applyFont="1" applyBorder="1" applyAlignment="1">
      <alignment vertical="center"/>
    </xf>
    <xf numFmtId="37" fontId="24" fillId="0" borderId="12" xfId="18" applyNumberFormat="1" applyFont="1" applyBorder="1" applyAlignment="1">
      <alignment horizontal="left" vertical="center"/>
    </xf>
    <xf numFmtId="37" fontId="24" fillId="14" borderId="13" xfId="18" applyNumberFormat="1" applyFont="1" applyFill="1" applyBorder="1" applyAlignment="1">
      <alignment horizontal="right" vertical="center"/>
    </xf>
    <xf numFmtId="0" fontId="25" fillId="12" borderId="11" xfId="18" applyFont="1" applyFill="1" applyBorder="1"/>
    <xf numFmtId="37" fontId="26" fillId="12" borderId="12" xfId="18" applyNumberFormat="1" applyFont="1" applyFill="1" applyBorder="1" applyAlignment="1">
      <alignment horizontal="left"/>
    </xf>
    <xf numFmtId="37" fontId="26" fillId="13" borderId="14" xfId="18" applyNumberFormat="1" applyFont="1" applyFill="1" applyBorder="1" applyAlignment="1">
      <alignment horizontal="right"/>
    </xf>
    <xf numFmtId="37" fontId="26" fillId="13" borderId="13" xfId="18" applyNumberFormat="1" applyFont="1" applyFill="1" applyBorder="1" applyAlignment="1">
      <alignment horizontal="right"/>
    </xf>
    <xf numFmtId="37" fontId="26" fillId="0" borderId="12" xfId="18" applyNumberFormat="1" applyFont="1" applyBorder="1" applyAlignment="1">
      <alignment horizontal="left" vertical="center"/>
    </xf>
    <xf numFmtId="37" fontId="26" fillId="14" borderId="13" xfId="18" applyNumberFormat="1" applyFont="1" applyFill="1" applyBorder="1" applyAlignment="1">
      <alignment horizontal="right" vertical="center"/>
    </xf>
    <xf numFmtId="4" fontId="24" fillId="0" borderId="12" xfId="18" applyNumberFormat="1" applyFont="1" applyBorder="1" applyAlignment="1">
      <alignment horizontal="left" vertical="center"/>
    </xf>
    <xf numFmtId="4" fontId="24" fillId="14" borderId="13" xfId="18" applyNumberFormat="1" applyFont="1" applyFill="1" applyBorder="1" applyAlignment="1">
      <alignment horizontal="right" vertical="center"/>
    </xf>
    <xf numFmtId="164" fontId="26" fillId="12" borderId="12" xfId="18" applyNumberFormat="1" applyFont="1" applyFill="1" applyBorder="1" applyAlignment="1">
      <alignment horizontal="left"/>
    </xf>
    <xf numFmtId="164" fontId="26" fillId="13" borderId="13" xfId="18" applyNumberFormat="1" applyFont="1" applyFill="1" applyBorder="1" applyAlignment="1">
      <alignment horizontal="right"/>
    </xf>
    <xf numFmtId="0" fontId="25" fillId="12" borderId="15" xfId="18" applyFont="1" applyFill="1" applyBorder="1"/>
    <xf numFmtId="37" fontId="26" fillId="12" borderId="16" xfId="18" applyNumberFormat="1" applyFont="1" applyFill="1" applyBorder="1" applyAlignment="1">
      <alignment horizontal="left"/>
    </xf>
    <xf numFmtId="164" fontId="26" fillId="13" borderId="17" xfId="18" applyNumberFormat="1" applyFont="1" applyFill="1" applyBorder="1" applyAlignment="1">
      <alignment horizontal="right"/>
    </xf>
    <xf numFmtId="0" fontId="27" fillId="0" borderId="0" xfId="18" applyFont="1" applyProtection="1">
      <protection locked="0"/>
    </xf>
    <xf numFmtId="0" fontId="3" fillId="0" borderId="0" xfId="18" applyProtection="1">
      <protection locked="0"/>
    </xf>
    <xf numFmtId="4" fontId="28" fillId="0" borderId="0" xfId="18" applyNumberFormat="1" applyFont="1" applyAlignment="1" applyProtection="1">
      <alignment horizontal="right"/>
      <protection locked="0"/>
    </xf>
    <xf numFmtId="0" fontId="29" fillId="0" borderId="0" xfId="18" applyFont="1" applyProtection="1">
      <protection locked="0"/>
    </xf>
    <xf numFmtId="0" fontId="30" fillId="12" borderId="18" xfId="18" applyFont="1" applyFill="1" applyBorder="1"/>
    <xf numFmtId="0" fontId="31" fillId="0" borderId="0" xfId="18" applyFont="1" applyProtection="1">
      <protection locked="0"/>
    </xf>
    <xf numFmtId="3" fontId="31" fillId="0" borderId="0" xfId="18" applyNumberFormat="1" applyFont="1" applyAlignment="1" applyProtection="1">
      <alignment horizontal="right"/>
      <protection locked="0"/>
    </xf>
    <xf numFmtId="4" fontId="30" fillId="12" borderId="19" xfId="18" applyNumberFormat="1" applyFont="1" applyFill="1" applyBorder="1" applyAlignment="1">
      <alignment horizontal="left"/>
    </xf>
    <xf numFmtId="4" fontId="30" fillId="12" borderId="20" xfId="18" applyNumberFormat="1" applyFont="1" applyFill="1" applyBorder="1" applyAlignment="1">
      <alignment horizontal="center"/>
    </xf>
    <xf numFmtId="4" fontId="30" fillId="12" borderId="21" xfId="18" applyNumberFormat="1" applyFont="1" applyFill="1" applyBorder="1" applyAlignment="1">
      <alignment horizontal="left"/>
    </xf>
    <xf numFmtId="4" fontId="32" fillId="0" borderId="22" xfId="18" applyNumberFormat="1" applyFont="1" applyBorder="1" applyAlignment="1">
      <alignment horizontal="right"/>
    </xf>
    <xf numFmtId="4" fontId="30" fillId="12" borderId="18" xfId="18" applyNumberFormat="1" applyFont="1" applyFill="1" applyBorder="1" applyAlignment="1">
      <alignment horizontal="left"/>
    </xf>
    <xf numFmtId="4" fontId="32" fillId="0" borderId="23" xfId="18" applyNumberFormat="1" applyFont="1" applyBorder="1" applyAlignment="1">
      <alignment horizontal="right"/>
    </xf>
    <xf numFmtId="0" fontId="3" fillId="0" borderId="0" xfId="18" quotePrefix="1"/>
    <xf numFmtId="0" fontId="33" fillId="8" borderId="0" xfId="16" applyFont="1" applyAlignment="1">
      <alignment horizontal="center"/>
    </xf>
    <xf numFmtId="0" fontId="33" fillId="8" borderId="0" xfId="16" applyFont="1"/>
    <xf numFmtId="0" fontId="18" fillId="0" borderId="0" xfId="18" applyFont="1"/>
    <xf numFmtId="0" fontId="34" fillId="0" borderId="0" xfId="19"/>
    <xf numFmtId="14" fontId="0" fillId="0" borderId="0" xfId="0" applyNumberFormat="1"/>
    <xf numFmtId="0" fontId="35" fillId="0" borderId="0" xfId="0" applyFont="1"/>
    <xf numFmtId="0" fontId="36" fillId="0" borderId="0" xfId="0" applyFont="1"/>
    <xf numFmtId="0" fontId="37" fillId="0" borderId="0" xfId="0" applyFont="1"/>
    <xf numFmtId="0" fontId="33" fillId="8" borderId="24" xfId="16" applyFont="1" applyBorder="1" applyAlignment="1">
      <alignment horizontal="center" vertical="center" wrapText="1"/>
    </xf>
    <xf numFmtId="0" fontId="15" fillId="16" borderId="5" xfId="13" applyFill="1"/>
    <xf numFmtId="0" fontId="0" fillId="17" borderId="0" xfId="0" applyFill="1"/>
    <xf numFmtId="0" fontId="39" fillId="16" borderId="0" xfId="0" applyFont="1" applyFill="1"/>
    <xf numFmtId="0" fontId="39" fillId="16" borderId="0" xfId="0" applyFont="1" applyFill="1" applyAlignment="1">
      <alignment wrapText="1"/>
    </xf>
    <xf numFmtId="0" fontId="17" fillId="17" borderId="7" xfId="15" applyFill="1"/>
    <xf numFmtId="0" fontId="40" fillId="17" borderId="0" xfId="0" applyFont="1" applyFill="1"/>
    <xf numFmtId="167" fontId="39" fillId="17" borderId="0" xfId="0" applyNumberFormat="1" applyFont="1" applyFill="1"/>
    <xf numFmtId="168" fontId="31" fillId="18" borderId="24" xfId="11" applyNumberFormat="1" applyFont="1" applyFill="1" applyBorder="1" applyAlignment="1"/>
    <xf numFmtId="169" fontId="31" fillId="18" borderId="24" xfId="11" applyNumberFormat="1" applyFont="1" applyFill="1" applyBorder="1" applyAlignment="1"/>
    <xf numFmtId="168" fontId="31" fillId="15" borderId="24" xfId="11" applyNumberFormat="1" applyFont="1" applyFill="1" applyBorder="1" applyAlignment="1"/>
    <xf numFmtId="169" fontId="31" fillId="15" borderId="24" xfId="11" applyNumberFormat="1" applyFont="1" applyFill="1" applyBorder="1" applyAlignment="1"/>
    <xf numFmtId="0" fontId="38" fillId="9" borderId="24" xfId="21" applyBorder="1" applyAlignment="1">
      <alignment horizontal="left"/>
    </xf>
    <xf numFmtId="0" fontId="40" fillId="17" borderId="0" xfId="22" applyFill="1" applyAlignment="1">
      <alignment horizontal="left"/>
    </xf>
    <xf numFmtId="1" fontId="39" fillId="17" borderId="0" xfId="0" applyNumberFormat="1" applyFont="1" applyFill="1" applyAlignment="1">
      <alignment horizontal="center" vertical="center" wrapText="1"/>
    </xf>
    <xf numFmtId="0" fontId="40" fillId="16" borderId="0" xfId="22" applyFill="1" applyAlignment="1">
      <alignment horizontal="left"/>
    </xf>
    <xf numFmtId="0" fontId="0" fillId="16" borderId="0" xfId="0" applyFill="1"/>
    <xf numFmtId="0" fontId="39" fillId="17" borderId="0" xfId="0" applyFont="1" applyFill="1"/>
    <xf numFmtId="0" fontId="15" fillId="17" borderId="5" xfId="13" applyFill="1"/>
    <xf numFmtId="0" fontId="41" fillId="17" borderId="5" xfId="13" applyFont="1" applyFill="1" applyAlignment="1">
      <alignment horizontal="right"/>
    </xf>
    <xf numFmtId="0" fontId="42" fillId="17" borderId="0" xfId="0" applyFont="1" applyFill="1"/>
    <xf numFmtId="0" fontId="39" fillId="17" borderId="0" xfId="0" applyFont="1" applyFill="1" applyAlignment="1">
      <alignment horizontal="right"/>
    </xf>
    <xf numFmtId="0" fontId="16" fillId="17" borderId="6" xfId="14" applyFill="1"/>
    <xf numFmtId="2" fontId="31" fillId="18" borderId="24" xfId="20" applyNumberFormat="1" applyFill="1" applyAlignment="1"/>
    <xf numFmtId="2" fontId="31" fillId="15" borderId="24" xfId="23" applyNumberFormat="1" applyAlignment="1"/>
    <xf numFmtId="0" fontId="40" fillId="17" borderId="26" xfId="0" applyFont="1" applyFill="1" applyBorder="1" applyAlignment="1">
      <alignment wrapText="1"/>
    </xf>
    <xf numFmtId="0" fontId="40" fillId="17" borderId="0" xfId="0" applyFont="1" applyFill="1" applyAlignment="1">
      <alignment horizontal="left"/>
    </xf>
    <xf numFmtId="14" fontId="0" fillId="0" borderId="0" xfId="0" applyNumberFormat="1" applyAlignment="1">
      <alignment horizontal="left"/>
    </xf>
    <xf numFmtId="0" fontId="9" fillId="0" borderId="0" xfId="10"/>
    <xf numFmtId="0" fontId="16" fillId="17" borderId="6" xfId="14" applyFill="1" applyProtection="1">
      <protection locked="0"/>
    </xf>
    <xf numFmtId="0" fontId="40" fillId="17" borderId="0" xfId="0" applyFont="1" applyFill="1" applyProtection="1">
      <protection locked="0"/>
    </xf>
    <xf numFmtId="0" fontId="38" fillId="9" borderId="24" xfId="21" applyBorder="1" applyAlignment="1" applyProtection="1">
      <alignment horizontal="left"/>
      <protection locked="0"/>
    </xf>
    <xf numFmtId="9" fontId="31" fillId="0" borderId="27" xfId="0" applyNumberFormat="1" applyFont="1" applyBorder="1" applyProtection="1">
      <protection locked="0"/>
    </xf>
    <xf numFmtId="9" fontId="31" fillId="15" borderId="27" xfId="0" applyNumberFormat="1" applyFont="1" applyFill="1" applyBorder="1" applyProtection="1">
      <protection locked="0"/>
    </xf>
    <xf numFmtId="0" fontId="40" fillId="17" borderId="0" xfId="22" applyFill="1"/>
    <xf numFmtId="0" fontId="43" fillId="17" borderId="0" xfId="0" applyFont="1" applyFill="1"/>
    <xf numFmtId="0" fontId="38" fillId="8" borderId="24" xfId="24" applyBorder="1" applyAlignment="1">
      <alignment horizontal="center" vertical="center" wrapText="1"/>
    </xf>
    <xf numFmtId="0" fontId="44" fillId="8" borderId="24" xfId="24" applyFont="1" applyBorder="1" applyAlignment="1">
      <alignment horizontal="center" vertical="center" wrapText="1"/>
    </xf>
    <xf numFmtId="2" fontId="31" fillId="0" borderId="24" xfId="20" applyNumberFormat="1" applyAlignment="1"/>
    <xf numFmtId="170" fontId="40" fillId="17" borderId="0" xfId="0" applyNumberFormat="1" applyFont="1" applyFill="1"/>
    <xf numFmtId="0" fontId="45" fillId="0" borderId="28" xfId="0" applyFont="1" applyBorder="1" applyAlignment="1">
      <alignment vertical="center" wrapText="1"/>
    </xf>
    <xf numFmtId="0" fontId="45" fillId="0" borderId="29" xfId="0" applyFont="1" applyBorder="1" applyAlignment="1">
      <alignment vertical="center" wrapText="1"/>
    </xf>
    <xf numFmtId="0" fontId="45" fillId="0" borderId="30" xfId="0" applyFont="1" applyBorder="1" applyAlignment="1">
      <alignment vertical="center" wrapText="1"/>
    </xf>
    <xf numFmtId="0" fontId="45" fillId="0" borderId="31" xfId="0" applyFont="1" applyBorder="1" applyAlignment="1">
      <alignment vertical="center" wrapText="1"/>
    </xf>
    <xf numFmtId="0" fontId="0" fillId="0" borderId="0" xfId="0" applyAlignment="1">
      <alignment horizontal="center"/>
    </xf>
    <xf numFmtId="171" fontId="0" fillId="0" borderId="0" xfId="0" applyNumberFormat="1"/>
    <xf numFmtId="0" fontId="45" fillId="0" borderId="0" xfId="0" applyFont="1" applyAlignment="1">
      <alignment vertical="center" wrapText="1"/>
    </xf>
    <xf numFmtId="0" fontId="33" fillId="8" borderId="0" xfId="16" applyFont="1" applyBorder="1"/>
    <xf numFmtId="9" fontId="0" fillId="0" borderId="0" xfId="0" applyNumberFormat="1"/>
    <xf numFmtId="0" fontId="33" fillId="8" borderId="32" xfId="16" applyFont="1" applyBorder="1" applyAlignment="1">
      <alignment horizontal="center" vertical="center" wrapText="1"/>
    </xf>
    <xf numFmtId="0" fontId="46" fillId="0" borderId="0" xfId="10" applyFont="1"/>
    <xf numFmtId="0" fontId="33" fillId="8" borderId="25" xfId="16" applyFont="1" applyBorder="1" applyAlignment="1">
      <alignment horizontal="center" vertical="center" wrapText="1"/>
    </xf>
    <xf numFmtId="0" fontId="47" fillId="17" borderId="0" xfId="0" applyFont="1" applyFill="1"/>
    <xf numFmtId="172" fontId="31" fillId="0" borderId="0" xfId="12" applyNumberFormat="1" applyFont="1" applyAlignment="1" applyProtection="1">
      <alignment horizontal="right"/>
      <protection locked="0"/>
    </xf>
    <xf numFmtId="0" fontId="33" fillId="8" borderId="0" xfId="16" applyFont="1" applyAlignment="1">
      <alignment horizontal="left"/>
    </xf>
    <xf numFmtId="0" fontId="48" fillId="11" borderId="24" xfId="21" applyFont="1" applyFill="1" applyBorder="1" applyAlignment="1">
      <alignment horizontal="left"/>
    </xf>
    <xf numFmtId="170" fontId="51" fillId="0" borderId="0" xfId="25" applyNumberFormat="1" applyFont="1"/>
    <xf numFmtId="0" fontId="50" fillId="0" borderId="0" xfId="27" applyFont="1" applyAlignment="1">
      <alignment horizontal="left"/>
    </xf>
    <xf numFmtId="0" fontId="54" fillId="0" borderId="0" xfId="25" applyFont="1" applyAlignment="1">
      <alignment horizontal="center" wrapText="1"/>
    </xf>
    <xf numFmtId="0" fontId="51" fillId="0" borderId="0" xfId="25" applyFont="1"/>
    <xf numFmtId="173" fontId="51" fillId="0" borderId="0" xfId="25" applyNumberFormat="1" applyFont="1"/>
    <xf numFmtId="0" fontId="51" fillId="0" borderId="0" xfId="25" applyFont="1" applyAlignment="1">
      <alignment horizontal="left" wrapText="1"/>
    </xf>
    <xf numFmtId="0" fontId="54" fillId="0" borderId="0" xfId="25" applyFont="1" applyAlignment="1">
      <alignment horizontal="left" wrapText="1"/>
    </xf>
    <xf numFmtId="0" fontId="53" fillId="0" borderId="0" xfId="25" applyFont="1" applyAlignment="1">
      <alignment horizontal="left" wrapText="1"/>
    </xf>
    <xf numFmtId="173" fontId="51" fillId="0" borderId="0" xfId="25" applyNumberFormat="1" applyFont="1" applyAlignment="1">
      <alignment horizontal="right"/>
    </xf>
    <xf numFmtId="0" fontId="54" fillId="0" borderId="0" xfId="25" applyFont="1" applyAlignment="1">
      <alignment horizontal="left"/>
    </xf>
    <xf numFmtId="170" fontId="52" fillId="0" borderId="0" xfId="25" applyNumberFormat="1" applyFont="1"/>
    <xf numFmtId="173" fontId="51" fillId="0" borderId="0" xfId="25" applyNumberFormat="1" applyFont="1" applyAlignment="1">
      <alignment horizontal="left"/>
    </xf>
    <xf numFmtId="0" fontId="56" fillId="0" borderId="0" xfId="30" applyFont="1" applyAlignment="1">
      <alignment horizontal="left"/>
    </xf>
    <xf numFmtId="2" fontId="54" fillId="0" borderId="0" xfId="30" applyNumberFormat="1" applyFont="1" applyAlignment="1">
      <alignment horizontal="left" wrapText="1"/>
    </xf>
    <xf numFmtId="0" fontId="55" fillId="0" borderId="0" xfId="30" applyAlignment="1">
      <alignment horizontal="left" wrapText="1"/>
    </xf>
    <xf numFmtId="174" fontId="55" fillId="0" borderId="0" xfId="30" applyNumberFormat="1" applyAlignment="1">
      <alignment horizontal="right"/>
    </xf>
    <xf numFmtId="2" fontId="55" fillId="0" borderId="0" xfId="30" applyNumberFormat="1" applyAlignment="1">
      <alignment horizontal="left" wrapText="1"/>
    </xf>
    <xf numFmtId="2" fontId="55" fillId="0" borderId="0" xfId="30" applyNumberFormat="1"/>
    <xf numFmtId="2" fontId="53" fillId="0" borderId="0" xfId="30" applyNumberFormat="1" applyFont="1" applyAlignment="1">
      <alignment horizontal="left" wrapText="1"/>
    </xf>
    <xf numFmtId="17" fontId="0" fillId="0" borderId="0" xfId="0" applyNumberFormat="1"/>
    <xf numFmtId="10" fontId="0" fillId="0" borderId="0" xfId="0" applyNumberFormat="1"/>
    <xf numFmtId="10" fontId="10" fillId="5" borderId="1" xfId="4" applyNumberFormat="1"/>
    <xf numFmtId="2" fontId="0" fillId="0" borderId="0" xfId="0" applyNumberFormat="1"/>
    <xf numFmtId="14" fontId="10" fillId="5" borderId="1" xfId="4" applyNumberFormat="1"/>
    <xf numFmtId="0" fontId="9" fillId="0" borderId="0" xfId="10" applyAlignment="1">
      <alignment horizontal="center" wrapText="1"/>
    </xf>
    <xf numFmtId="4" fontId="10" fillId="5" borderId="1" xfId="4" applyNumberFormat="1" applyAlignment="1" applyProtection="1">
      <alignment horizontal="right"/>
      <protection locked="0"/>
    </xf>
    <xf numFmtId="3" fontId="0" fillId="0" borderId="0" xfId="0" applyNumberFormat="1"/>
    <xf numFmtId="0" fontId="18" fillId="0" borderId="0" xfId="18" applyFont="1" applyProtection="1">
      <protection locked="0"/>
    </xf>
    <xf numFmtId="0" fontId="46" fillId="0" borderId="0" xfId="10" applyFont="1" applyAlignment="1">
      <alignment horizontal="center" wrapText="1"/>
    </xf>
    <xf numFmtId="3" fontId="35" fillId="0" borderId="0" xfId="0" applyNumberFormat="1" applyFont="1"/>
    <xf numFmtId="9" fontId="10" fillId="5" borderId="1" xfId="4" applyNumberFormat="1"/>
    <xf numFmtId="3" fontId="0" fillId="19" borderId="0" xfId="0" applyNumberFormat="1" applyFill="1"/>
    <xf numFmtId="175" fontId="0" fillId="0" borderId="0" xfId="0" applyNumberFormat="1"/>
    <xf numFmtId="0" fontId="10" fillId="5" borderId="1" xfId="4"/>
    <xf numFmtId="0" fontId="57" fillId="0" borderId="0" xfId="0" applyFont="1" applyAlignment="1">
      <alignment horizontal="left"/>
    </xf>
    <xf numFmtId="0" fontId="58" fillId="0" borderId="0" xfId="0" applyFont="1" applyAlignment="1">
      <alignment horizontal="left"/>
    </xf>
    <xf numFmtId="175" fontId="0" fillId="19" borderId="0" xfId="0" applyNumberFormat="1" applyFill="1"/>
    <xf numFmtId="0" fontId="0" fillId="20" borderId="0" xfId="0" applyFill="1"/>
    <xf numFmtId="6" fontId="0" fillId="0" borderId="0" xfId="0" applyNumberFormat="1"/>
    <xf numFmtId="0" fontId="10" fillId="5" borderId="1" xfId="4" applyAlignment="1">
      <alignment horizontal="center"/>
    </xf>
    <xf numFmtId="3" fontId="0" fillId="0" borderId="33" xfId="0" applyNumberFormat="1" applyBorder="1"/>
    <xf numFmtId="9" fontId="0" fillId="0" borderId="0" xfId="12" applyFont="1"/>
    <xf numFmtId="0" fontId="19" fillId="8" borderId="0" xfId="16"/>
    <xf numFmtId="0" fontId="33" fillId="8" borderId="0" xfId="16" applyFont="1" applyAlignment="1">
      <alignment wrapText="1"/>
    </xf>
    <xf numFmtId="0" fontId="33" fillId="8" borderId="0" xfId="16" applyFont="1" applyAlignment="1">
      <alignment horizontal="center" wrapText="1"/>
    </xf>
    <xf numFmtId="0" fontId="33" fillId="8" borderId="34" xfId="16" applyFont="1" applyBorder="1" applyAlignment="1">
      <alignment horizontal="center" vertical="center" wrapText="1"/>
    </xf>
    <xf numFmtId="171" fontId="10" fillId="5" borderId="1" xfId="4" applyNumberFormat="1"/>
    <xf numFmtId="176" fontId="0" fillId="0" borderId="0" xfId="0" applyNumberFormat="1"/>
    <xf numFmtId="0" fontId="0" fillId="0" borderId="0" xfId="0" quotePrefix="1"/>
    <xf numFmtId="2" fontId="10" fillId="5" borderId="1" xfId="4" applyNumberFormat="1"/>
    <xf numFmtId="0" fontId="59" fillId="0" borderId="0" xfId="0" applyFont="1"/>
    <xf numFmtId="0" fontId="9" fillId="0" borderId="0" xfId="10" applyAlignment="1">
      <alignment horizontal="left" wrapText="1"/>
    </xf>
    <xf numFmtId="0" fontId="29" fillId="0" borderId="0" xfId="18" quotePrefix="1" applyFont="1" applyProtection="1">
      <protection locked="0"/>
    </xf>
    <xf numFmtId="3" fontId="10" fillId="5" borderId="1" xfId="4" applyNumberFormat="1"/>
    <xf numFmtId="0" fontId="38" fillId="8" borderId="0" xfId="24" applyAlignment="1">
      <alignment horizontal="center"/>
    </xf>
    <xf numFmtId="0" fontId="38" fillId="8" borderId="0" xfId="24" applyAlignment="1">
      <alignment horizontal="center" wrapText="1"/>
    </xf>
    <xf numFmtId="166" fontId="10" fillId="5" borderId="1" xfId="4" applyNumberFormat="1"/>
    <xf numFmtId="0" fontId="2" fillId="0" borderId="0" xfId="31"/>
    <xf numFmtId="166" fontId="2" fillId="0" borderId="0" xfId="31" applyNumberFormat="1"/>
    <xf numFmtId="3" fontId="2" fillId="0" borderId="0" xfId="31" applyNumberFormat="1"/>
    <xf numFmtId="2" fontId="2" fillId="0" borderId="0" xfId="31" applyNumberFormat="1"/>
    <xf numFmtId="166" fontId="2" fillId="0" borderId="0" xfId="31" applyNumberFormat="1" applyAlignment="1">
      <alignment horizontal="left" indent="3"/>
    </xf>
    <xf numFmtId="175" fontId="2" fillId="0" borderId="0" xfId="31" applyNumberFormat="1"/>
    <xf numFmtId="0" fontId="2" fillId="0" borderId="0" xfId="31" quotePrefix="1"/>
    <xf numFmtId="9" fontId="2" fillId="0" borderId="0" xfId="31" applyNumberFormat="1"/>
    <xf numFmtId="0" fontId="18" fillId="0" borderId="0" xfId="31" applyFont="1"/>
    <xf numFmtId="171" fontId="2" fillId="0" borderId="0" xfId="31" applyNumberFormat="1"/>
    <xf numFmtId="0" fontId="8" fillId="8" borderId="0" xfId="24" applyFont="1"/>
    <xf numFmtId="0" fontId="8" fillId="8" borderId="0" xfId="24" applyFont="1" applyAlignment="1">
      <alignment horizontal="center" wrapText="1"/>
    </xf>
    <xf numFmtId="1" fontId="2" fillId="0" borderId="0" xfId="31" applyNumberFormat="1"/>
    <xf numFmtId="0" fontId="2" fillId="0" borderId="0" xfId="31" applyAlignment="1">
      <alignment horizontal="center"/>
    </xf>
    <xf numFmtId="0" fontId="8" fillId="8" borderId="0" xfId="24" applyFont="1" applyAlignment="1">
      <alignment horizontal="center"/>
    </xf>
    <xf numFmtId="0" fontId="8" fillId="8" borderId="0" xfId="24" applyFont="1" applyAlignment="1">
      <alignment horizontal="left"/>
    </xf>
    <xf numFmtId="2" fontId="3" fillId="0" borderId="0" xfId="29" applyNumberFormat="1"/>
    <xf numFmtId="3" fontId="45" fillId="0" borderId="31" xfId="0" applyNumberFormat="1" applyFont="1" applyBorder="1" applyAlignment="1">
      <alignment vertical="center" wrapText="1"/>
    </xf>
    <xf numFmtId="0" fontId="60" fillId="0" borderId="28" xfId="0" applyFont="1" applyBorder="1" applyAlignment="1">
      <alignment vertical="center" wrapText="1"/>
    </xf>
    <xf numFmtId="0" fontId="35" fillId="0" borderId="35" xfId="0" applyFont="1" applyBorder="1"/>
    <xf numFmtId="3" fontId="35" fillId="0" borderId="35" xfId="0" applyNumberFormat="1" applyFont="1" applyBorder="1"/>
    <xf numFmtId="3" fontId="35" fillId="0" borderId="29" xfId="0" applyNumberFormat="1" applyFont="1" applyBorder="1"/>
    <xf numFmtId="166" fontId="0" fillId="0" borderId="0" xfId="0" applyNumberFormat="1"/>
    <xf numFmtId="0" fontId="10" fillId="5" borderId="36" xfId="4" applyBorder="1"/>
    <xf numFmtId="0" fontId="60" fillId="0" borderId="37" xfId="0" applyFont="1" applyBorder="1" applyAlignment="1">
      <alignment vertical="center" wrapText="1"/>
    </xf>
    <xf numFmtId="1" fontId="35" fillId="0" borderId="29" xfId="0" applyNumberFormat="1" applyFont="1" applyBorder="1"/>
    <xf numFmtId="0" fontId="35" fillId="0" borderId="37" xfId="0" applyFont="1" applyBorder="1"/>
    <xf numFmtId="0" fontId="33" fillId="8" borderId="28" xfId="16" applyFont="1" applyBorder="1" applyAlignment="1">
      <alignment vertical="center" wrapText="1"/>
    </xf>
    <xf numFmtId="0" fontId="33" fillId="8" borderId="29" xfId="16" applyFont="1" applyBorder="1" applyAlignment="1">
      <alignment vertical="center" wrapText="1"/>
    </xf>
    <xf numFmtId="0" fontId="35" fillId="0" borderId="29" xfId="0" applyFont="1" applyBorder="1"/>
    <xf numFmtId="170" fontId="0" fillId="0" borderId="0" xfId="0" applyNumberFormat="1"/>
    <xf numFmtId="0" fontId="1" fillId="0" borderId="0" xfId="31" applyFont="1"/>
    <xf numFmtId="0" fontId="38" fillId="8" borderId="0" xfId="24"/>
    <xf numFmtId="4" fontId="0" fillId="0" borderId="0" xfId="0" applyNumberFormat="1"/>
    <xf numFmtId="0" fontId="61" fillId="0" borderId="0" xfId="0" applyFont="1"/>
    <xf numFmtId="0" fontId="13" fillId="0" borderId="0" xfId="0" applyFont="1"/>
    <xf numFmtId="0" fontId="1" fillId="0" borderId="0" xfId="18" applyFont="1" applyProtection="1">
      <protection locked="0"/>
    </xf>
    <xf numFmtId="0" fontId="8" fillId="8" borderId="0" xfId="24" applyFont="1" applyAlignment="1">
      <alignment horizontal="center"/>
    </xf>
    <xf numFmtId="0" fontId="33" fillId="8" borderId="25" xfId="16" applyFont="1" applyBorder="1" applyAlignment="1">
      <alignment horizontal="center" vertical="center" wrapText="1"/>
    </xf>
    <xf numFmtId="0" fontId="39" fillId="17" borderId="0" xfId="0" applyFont="1" applyFill="1" applyAlignment="1">
      <alignment wrapText="1"/>
    </xf>
    <xf numFmtId="0" fontId="39" fillId="17" borderId="0" xfId="0" applyFont="1" applyFill="1" applyAlignment="1">
      <alignment horizontal="left" wrapText="1"/>
    </xf>
    <xf numFmtId="0" fontId="39" fillId="17" borderId="0" xfId="0" applyFont="1" applyFill="1" applyAlignment="1">
      <alignment horizontal="left"/>
    </xf>
    <xf numFmtId="0" fontId="9" fillId="0" borderId="0" xfId="10" applyAlignment="1">
      <alignment horizontal="left" wrapText="1"/>
    </xf>
    <xf numFmtId="0" fontId="33" fillId="8" borderId="0" xfId="16" applyFont="1" applyAlignment="1">
      <alignment horizontal="center"/>
    </xf>
  </cellXfs>
  <cellStyles count="32">
    <cellStyle name="Accent1" xfId="16" builtinId="29"/>
    <cellStyle name="Accent1 2" xfId="24" xr:uid="{D33AE568-91FC-4D42-84ED-959B8540E88B}"/>
    <cellStyle name="Accent2 2" xfId="21" xr:uid="{42674F33-F959-4C3A-8443-FD5801A3B7E9}"/>
    <cellStyle name="Accent5" xfId="17" builtinId="45"/>
    <cellStyle name="Bad" xfId="2" builtinId="27" customBuiltin="1"/>
    <cellStyle name="Calculation" xfId="6" builtinId="22" customBuiltin="1"/>
    <cellStyle name="CellNum" xfId="20" xr:uid="{7EF5EDC2-CA29-472D-B5B9-5FB2941179E4}"/>
    <cellStyle name="CellNumalt" xfId="23" xr:uid="{61286604-7C6D-43C1-BBB2-A861F5F30EBE}"/>
    <cellStyle name="Check Cell" xfId="8" builtinId="23" customBuiltin="1"/>
    <cellStyle name="Comma" xfId="11" builtinId="3"/>
    <cellStyle name="Explanatory Text" xfId="10" builtinId="53" customBuiltin="1"/>
    <cellStyle name="Good" xfId="1" builtinId="26" customBuiltin="1"/>
    <cellStyle name="Heading 1" xfId="13" builtinId="16"/>
    <cellStyle name="Heading 2" xfId="14" builtinId="17"/>
    <cellStyle name="Heading 3" xfId="15" builtinId="18"/>
    <cellStyle name="Hyperlink" xfId="19" builtinId="8"/>
    <cellStyle name="Hyperlink 2" xfId="26" xr:uid="{CCE2077C-E414-4B05-950F-1055542145EF}"/>
    <cellStyle name="Input" xfId="4" builtinId="20" customBuiltin="1"/>
    <cellStyle name="Linked Cell" xfId="7" builtinId="24" customBuiltin="1"/>
    <cellStyle name="Neutral" xfId="3" builtinId="28" customBuiltin="1"/>
    <cellStyle name="Normal" xfId="0" builtinId="0" customBuiltin="1"/>
    <cellStyle name="Normal 2" xfId="18" xr:uid="{CDA628EF-BECA-4365-9C0B-F3A498A626EC}"/>
    <cellStyle name="Normal 2 2" xfId="27" xr:uid="{9EFCBDD2-1BB9-4772-AF4C-5A6870F965E2}"/>
    <cellStyle name="Normal 3" xfId="28" xr:uid="{24737E87-D680-42FC-85BF-A5978116EC4A}"/>
    <cellStyle name="Normal 4" xfId="29" xr:uid="{85C3FEE7-5B44-4AED-8927-AF5761D0C3B4}"/>
    <cellStyle name="Normal 5" xfId="25" xr:uid="{04105915-2298-4E15-AA50-E41B18A8C189}"/>
    <cellStyle name="Normal 6" xfId="30" xr:uid="{78107158-CDDC-4C3B-BF39-38DBEE2002A6}"/>
    <cellStyle name="Normal 7" xfId="31" xr:uid="{17521E0A-318E-493E-BF46-66BE2750A579}"/>
    <cellStyle name="Notes" xfId="22" xr:uid="{50F837A6-5B0A-4E16-81F5-A4AF3A6F9451}"/>
    <cellStyle name="Output" xfId="5" builtinId="21" customBuiltin="1"/>
    <cellStyle name="Percent" xfId="12" builtinId="5"/>
    <cellStyle name="Warning Text" xfId="9" builtinId="11" customBuiltin="1"/>
  </cellStyles>
  <dxfs count="0"/>
  <tableStyles count="0" defaultTableStyle="TableStyleMedium2" defaultPivotStyle="PivotStyleLight16"/>
  <colors>
    <mruColors>
      <color rgb="FF001E55"/>
      <color rgb="FF231EDC"/>
      <color rgb="FFFFFFFF"/>
      <color rgb="FF0A7DFF"/>
      <color rgb="FF5AE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calcChain" Target="calcChain.xml"/><Relationship Id="rId2" Type="http://schemas.openxmlformats.org/officeDocument/2006/relationships/chartsheet" Target="chartsheets/sheet1.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5" Type="http://schemas.openxmlformats.org/officeDocument/2006/relationships/worksheet" Target="worksheets/sheet4.xml"/><Relationship Id="rId15" Type="http://schemas.openxmlformats.org/officeDocument/2006/relationships/styles" Target="styles.xml"/><Relationship Id="rId10" Type="http://schemas.openxmlformats.org/officeDocument/2006/relationships/worksheet" Target="worksheets/sheet9.xml"/><Relationship Id="rId19" Type="http://schemas.openxmlformats.org/officeDocument/2006/relationships/customXml" Target="../customXml/item2.xml"/><Relationship Id="rId4" Type="http://schemas.openxmlformats.org/officeDocument/2006/relationships/worksheet" Target="worksheets/sheet3.xml"/><Relationship Id="rId9" Type="http://schemas.openxmlformats.org/officeDocument/2006/relationships/worksheet" Target="worksheets/sheet8.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Calculations!$A$54</c:f>
              <c:strCache>
                <c:ptCount val="1"/>
                <c:pt idx="0">
                  <c:v>Proxy BRCP - Peak</c:v>
                </c:pt>
              </c:strCache>
            </c:strRef>
          </c:tx>
          <c:spPr>
            <a:solidFill>
              <a:schemeClr val="accent1"/>
            </a:solidFill>
            <a:ln>
              <a:noFill/>
            </a:ln>
            <a:effectLst/>
          </c:spPr>
          <c:invertIfNegative val="0"/>
          <c:cat>
            <c:strRef>
              <c:extLst>
                <c:ext xmlns:c15="http://schemas.microsoft.com/office/drawing/2012/chart" uri="{02D57815-91ED-43cb-92C2-25804820EDAC}">
                  <c15:fullRef>
                    <c15:sqref>Calculations!$G$8:$AC$8</c15:sqref>
                  </c15:fullRef>
                </c:ext>
              </c:extLst>
              <c:f>(Calculations!$G$8:$R$8,Calculations!$U$8:$Z$8,Calculations!$AB$8:$AC$8)</c:f>
              <c:strCache>
                <c:ptCount val="20"/>
                <c:pt idx="0">
                  <c:v>SCGT _GT13E2 _DF</c:v>
                </c:pt>
                <c:pt idx="1">
                  <c:v>SCGT _GT13E2 _GasOnly</c:v>
                </c:pt>
                <c:pt idx="2">
                  <c:v>SCGT _SGT5-2000E _DF</c:v>
                </c:pt>
                <c:pt idx="3">
                  <c:v>SCGT _SGT5-2000E _GasOnly</c:v>
                </c:pt>
                <c:pt idx="4">
                  <c:v>SCGT _1x9FA _DF</c:v>
                </c:pt>
                <c:pt idx="5">
                  <c:v>SCGT _1x9FA _GasOnly</c:v>
                </c:pt>
                <c:pt idx="6">
                  <c:v>SCGT _LM2500 _GasOnly</c:v>
                </c:pt>
                <c:pt idx="7">
                  <c:v>SCGT _LM2500 _DF</c:v>
                </c:pt>
                <c:pt idx="8">
                  <c:v>SCGT _LM6000 _DF</c:v>
                </c:pt>
                <c:pt idx="9">
                  <c:v>SCGT _LM6000 _GasOnly</c:v>
                </c:pt>
                <c:pt idx="10">
                  <c:v>SCGT _LMS100 _DF</c:v>
                </c:pt>
                <c:pt idx="11">
                  <c:v>SCGT _LMS100 _GasOnly</c:v>
                </c:pt>
                <c:pt idx="12">
                  <c:v>CCGT _GT13E2 _DF</c:v>
                </c:pt>
                <c:pt idx="13">
                  <c:v>CCGT _GT13E2 _GasOnly</c:v>
                </c:pt>
                <c:pt idx="14">
                  <c:v>RECIP _Jenbacher _DF</c:v>
                </c:pt>
                <c:pt idx="15">
                  <c:v>RECIP _Jenbacher _GasOnly</c:v>
                </c:pt>
                <c:pt idx="16">
                  <c:v>RECIP _Wartsila _DF</c:v>
                </c:pt>
                <c:pt idx="17">
                  <c:v>RECIP _Wartsila _GasOnly</c:v>
                </c:pt>
                <c:pt idx="18">
                  <c:v>BESS_7hr</c:v>
                </c:pt>
                <c:pt idx="19">
                  <c:v>BESS_8hr</c:v>
                </c:pt>
              </c:strCache>
            </c:strRef>
          </c:cat>
          <c:val>
            <c:numRef>
              <c:extLst>
                <c:ext xmlns:c15="http://schemas.microsoft.com/office/drawing/2012/chart" uri="{02D57815-91ED-43cb-92C2-25804820EDAC}">
                  <c15:fullRef>
                    <c15:sqref>Calculations!$G$54:$AC$54</c15:sqref>
                  </c15:fullRef>
                </c:ext>
              </c:extLst>
              <c:f>(Calculations!$G$54:$R$54,Calculations!$U$54:$Z$54,Calculations!$AB$54:$AC$54)</c:f>
              <c:numCache>
                <c:formatCode>#,##0</c:formatCode>
                <c:ptCount val="20"/>
                <c:pt idx="0">
                  <c:v>351366.76367942861</c:v>
                </c:pt>
                <c:pt idx="1">
                  <c:v>490919.14339173044</c:v>
                </c:pt>
                <c:pt idx="2">
                  <c:v>344892.54102576099</c:v>
                </c:pt>
                <c:pt idx="3">
                  <c:v>483857.19716313959</c:v>
                </c:pt>
                <c:pt idx="4">
                  <c:v>382526.56923212274</c:v>
                </c:pt>
                <c:pt idx="5">
                  <c:v>503784.85957385116</c:v>
                </c:pt>
                <c:pt idx="6">
                  <c:v>656881.68157825049</c:v>
                </c:pt>
                <c:pt idx="7">
                  <c:v>523153.67502211424</c:v>
                </c:pt>
                <c:pt idx="8">
                  <c:v>606441.36651101115</c:v>
                </c:pt>
                <c:pt idx="9">
                  <c:v>737993.33607149636</c:v>
                </c:pt>
                <c:pt idx="10">
                  <c:v>505978.01381525147</c:v>
                </c:pt>
                <c:pt idx="11">
                  <c:v>646859.07280911435</c:v>
                </c:pt>
                <c:pt idx="12">
                  <c:v>454019.71578343649</c:v>
                </c:pt>
                <c:pt idx="13">
                  <c:v>551032.00224208098</c:v>
                </c:pt>
                <c:pt idx="14">
                  <c:v>520585.05550519709</c:v>
                </c:pt>
                <c:pt idx="15">
                  <c:v>635860.87114627764</c:v>
                </c:pt>
                <c:pt idx="16">
                  <c:v>508246.74315927317</c:v>
                </c:pt>
                <c:pt idx="17">
                  <c:v>628238.43241432251</c:v>
                </c:pt>
                <c:pt idx="18">
                  <c:v>464536.08254880935</c:v>
                </c:pt>
                <c:pt idx="19">
                  <c:v>507263.1769907219</c:v>
                </c:pt>
              </c:numCache>
            </c:numRef>
          </c:val>
          <c:extLst>
            <c:ext xmlns:c16="http://schemas.microsoft.com/office/drawing/2014/chart" uri="{C3380CC4-5D6E-409C-BE32-E72D297353CC}">
              <c16:uniqueId val="{00000000-62D5-446D-A1CB-E52DEA5F4278}"/>
            </c:ext>
          </c:extLst>
        </c:ser>
        <c:ser>
          <c:idx val="1"/>
          <c:order val="1"/>
          <c:tx>
            <c:strRef>
              <c:f>Calculations!$A$55</c:f>
              <c:strCache>
                <c:ptCount val="1"/>
                <c:pt idx="0">
                  <c:v>Proxy BRCP - Flex</c:v>
                </c:pt>
              </c:strCache>
            </c:strRef>
          </c:tx>
          <c:spPr>
            <a:solidFill>
              <a:schemeClr val="accent2"/>
            </a:solidFill>
            <a:ln>
              <a:noFill/>
            </a:ln>
            <a:effectLst/>
          </c:spPr>
          <c:invertIfNegative val="0"/>
          <c:cat>
            <c:strRef>
              <c:extLst>
                <c:ext xmlns:c15="http://schemas.microsoft.com/office/drawing/2012/chart" uri="{02D57815-91ED-43cb-92C2-25804820EDAC}">
                  <c15:fullRef>
                    <c15:sqref>Calculations!$G$8:$AC$8</c15:sqref>
                  </c15:fullRef>
                </c:ext>
              </c:extLst>
              <c:f>(Calculations!$G$8:$R$8,Calculations!$U$8:$Z$8,Calculations!$AB$8:$AC$8)</c:f>
              <c:strCache>
                <c:ptCount val="20"/>
                <c:pt idx="0">
                  <c:v>SCGT _GT13E2 _DF</c:v>
                </c:pt>
                <c:pt idx="1">
                  <c:v>SCGT _GT13E2 _GasOnly</c:v>
                </c:pt>
                <c:pt idx="2">
                  <c:v>SCGT _SGT5-2000E _DF</c:v>
                </c:pt>
                <c:pt idx="3">
                  <c:v>SCGT _SGT5-2000E _GasOnly</c:v>
                </c:pt>
                <c:pt idx="4">
                  <c:v>SCGT _1x9FA _DF</c:v>
                </c:pt>
                <c:pt idx="5">
                  <c:v>SCGT _1x9FA _GasOnly</c:v>
                </c:pt>
                <c:pt idx="6">
                  <c:v>SCGT _LM2500 _GasOnly</c:v>
                </c:pt>
                <c:pt idx="7">
                  <c:v>SCGT _LM2500 _DF</c:v>
                </c:pt>
                <c:pt idx="8">
                  <c:v>SCGT _LM6000 _DF</c:v>
                </c:pt>
                <c:pt idx="9">
                  <c:v>SCGT _LM6000 _GasOnly</c:v>
                </c:pt>
                <c:pt idx="10">
                  <c:v>SCGT _LMS100 _DF</c:v>
                </c:pt>
                <c:pt idx="11">
                  <c:v>SCGT _LMS100 _GasOnly</c:v>
                </c:pt>
                <c:pt idx="12">
                  <c:v>CCGT _GT13E2 _DF</c:v>
                </c:pt>
                <c:pt idx="13">
                  <c:v>CCGT _GT13E2 _GasOnly</c:v>
                </c:pt>
                <c:pt idx="14">
                  <c:v>RECIP _Jenbacher _DF</c:v>
                </c:pt>
                <c:pt idx="15">
                  <c:v>RECIP _Jenbacher _GasOnly</c:v>
                </c:pt>
                <c:pt idx="16">
                  <c:v>RECIP _Wartsila _DF</c:v>
                </c:pt>
                <c:pt idx="17">
                  <c:v>RECIP _Wartsila _GasOnly</c:v>
                </c:pt>
                <c:pt idx="18">
                  <c:v>BESS_7hr</c:v>
                </c:pt>
                <c:pt idx="19">
                  <c:v>BESS_8hr</c:v>
                </c:pt>
              </c:strCache>
            </c:strRef>
          </c:cat>
          <c:val>
            <c:numRef>
              <c:extLst>
                <c:ext xmlns:c15="http://schemas.microsoft.com/office/drawing/2012/chart" uri="{02D57815-91ED-43cb-92C2-25804820EDAC}">
                  <c15:fullRef>
                    <c15:sqref>Calculations!$G$55:$AC$55</c15:sqref>
                  </c15:fullRef>
                </c:ext>
              </c:extLst>
              <c:f>(Calculations!$G$55:$R$55,Calculations!$U$55:$Z$55,Calculations!$AB$55:$AC$55)</c:f>
              <c:numCache>
                <c:formatCode>#,##0</c:formatCode>
                <c:ptCount val="20"/>
                <c:pt idx="0">
                  <c:v>351366.76367942861</c:v>
                </c:pt>
                <c:pt idx="1">
                  <c:v>490919.14339173044</c:v>
                </c:pt>
                <c:pt idx="2">
                  <c:v>344892.54102576099</c:v>
                </c:pt>
                <c:pt idx="3">
                  <c:v>483857.19716313959</c:v>
                </c:pt>
                <c:pt idx="4">
                  <c:v>382526.56923212274</c:v>
                </c:pt>
                <c:pt idx="5">
                  <c:v>503784.85957385116</c:v>
                </c:pt>
                <c:pt idx="6">
                  <c:v>656881.68157825049</c:v>
                </c:pt>
                <c:pt idx="7">
                  <c:v>523153.67502211424</c:v>
                </c:pt>
                <c:pt idx="8">
                  <c:v>606441.36651101115</c:v>
                </c:pt>
                <c:pt idx="9">
                  <c:v>737993.33607149636</c:v>
                </c:pt>
                <c:pt idx="10">
                  <c:v>505978.01381525147</c:v>
                </c:pt>
                <c:pt idx="11">
                  <c:v>646859.07280911435</c:v>
                </c:pt>
                <c:pt idx="12">
                  <c:v>681029.57367515482</c:v>
                </c:pt>
                <c:pt idx="13">
                  <c:v>826548.00336312153</c:v>
                </c:pt>
                <c:pt idx="14">
                  <c:v>520585.05550519709</c:v>
                </c:pt>
                <c:pt idx="15">
                  <c:v>635860.87114627764</c:v>
                </c:pt>
                <c:pt idx="16">
                  <c:v>508246.74315927317</c:v>
                </c:pt>
                <c:pt idx="17">
                  <c:v>628238.43241432251</c:v>
                </c:pt>
                <c:pt idx="18">
                  <c:v>464536.08254880935</c:v>
                </c:pt>
                <c:pt idx="19">
                  <c:v>507263.1769907219</c:v>
                </c:pt>
              </c:numCache>
            </c:numRef>
          </c:val>
          <c:extLst>
            <c:ext xmlns:c16="http://schemas.microsoft.com/office/drawing/2014/chart" uri="{C3380CC4-5D6E-409C-BE32-E72D297353CC}">
              <c16:uniqueId val="{00000001-62D5-446D-A1CB-E52DEA5F4278}"/>
            </c:ext>
          </c:extLst>
        </c:ser>
        <c:dLbls>
          <c:showLegendKey val="0"/>
          <c:showVal val="0"/>
          <c:showCatName val="0"/>
          <c:showSerName val="0"/>
          <c:showPercent val="0"/>
          <c:showBubbleSize val="0"/>
        </c:dLbls>
        <c:gapWidth val="219"/>
        <c:overlap val="-27"/>
        <c:axId val="1723880560"/>
        <c:axId val="1723884400"/>
      </c:barChart>
      <c:catAx>
        <c:axId val="1723880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3884400"/>
        <c:crosses val="autoZero"/>
        <c:auto val="1"/>
        <c:lblAlgn val="ctr"/>
        <c:lblOffset val="100"/>
        <c:noMultiLvlLbl val="0"/>
      </c:catAx>
      <c:valAx>
        <c:axId val="17238844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Proxy BRCP $/MW/y $2029</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238805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ED49179-A89B-4BCC-954F-D24389C68C3E}">
  <sheetPr/>
  <sheetViews>
    <sheetView zoomScale="118" workbookViewId="0" zoomToFit="1"/>
  </sheetViews>
  <pageMargins left="0.7" right="0.7" top="0.75" bottom="0.75" header="0.3" footer="0.3"/>
  <pageSetup paperSize="9" orientation="landscape" r:id="rId1"/>
  <headerFooter>
    <oddHeader>&amp;C&amp;"Aptos"&amp;10&amp;KFF0000 OFFICIAL&amp;1#_x000D_</oddHeader>
  </headerFooter>
  <drawing r:id="rId2"/>
</chartsheet>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10</xdr:col>
      <xdr:colOff>93010</xdr:colOff>
      <xdr:row>15</xdr:row>
      <xdr:rowOff>6351</xdr:rowOff>
    </xdr:to>
    <xdr:grpSp>
      <xdr:nvGrpSpPr>
        <xdr:cNvPr id="8" name="Group 7">
          <a:extLst>
            <a:ext uri="{FF2B5EF4-FFF2-40B4-BE49-F238E27FC236}">
              <a16:creationId xmlns:a16="http://schemas.microsoft.com/office/drawing/2014/main" id="{7BF47047-C786-6A5C-245F-EBEE5721329D}"/>
            </a:ext>
          </a:extLst>
        </xdr:cNvPr>
        <xdr:cNvGrpSpPr/>
      </xdr:nvGrpSpPr>
      <xdr:grpSpPr>
        <a:xfrm>
          <a:off x="0" y="1"/>
          <a:ext cx="6951010" cy="2720975"/>
          <a:chOff x="0" y="1"/>
          <a:chExt cx="6697010" cy="2673350"/>
        </a:xfrm>
      </xdr:grpSpPr>
      <xdr:pic>
        <xdr:nvPicPr>
          <xdr:cNvPr id="6" name="Picture 5">
            <a:extLst>
              <a:ext uri="{FF2B5EF4-FFF2-40B4-BE49-F238E27FC236}">
                <a16:creationId xmlns:a16="http://schemas.microsoft.com/office/drawing/2014/main" id="{3F5D46B0-1302-B913-1909-8B4EA4835809}"/>
              </a:ext>
            </a:extLst>
          </xdr:cNvPr>
          <xdr:cNvPicPr>
            <a:picLocks noChangeAspect="1"/>
          </xdr:cNvPicPr>
        </xdr:nvPicPr>
        <xdr:blipFill rotWithShape="1">
          <a:blip xmlns:r="http://schemas.openxmlformats.org/officeDocument/2006/relationships" r:embed="rId1"/>
          <a:srcRect b="7077"/>
          <a:stretch>
            <a:fillRect/>
          </a:stretch>
        </xdr:blipFill>
        <xdr:spPr>
          <a:xfrm>
            <a:off x="0" y="1"/>
            <a:ext cx="6697010" cy="2673350"/>
          </a:xfrm>
          <a:prstGeom prst="rect">
            <a:avLst/>
          </a:prstGeom>
        </xdr:spPr>
      </xdr:pic>
      <xdr:pic>
        <xdr:nvPicPr>
          <xdr:cNvPr id="3" name="Picture 2">
            <a:extLst>
              <a:ext uri="{FF2B5EF4-FFF2-40B4-BE49-F238E27FC236}">
                <a16:creationId xmlns:a16="http://schemas.microsoft.com/office/drawing/2014/main" id="{4692BAFA-E7C4-0382-04E4-BC807D8B94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4450" y="1244600"/>
            <a:ext cx="5060950" cy="12763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2.xml><?xml version="1.0" encoding="utf-8"?>
<xdr:wsDr xmlns:xdr="http://schemas.openxmlformats.org/drawingml/2006/spreadsheetDrawing" xmlns:a="http://schemas.openxmlformats.org/drawingml/2006/main">
  <xdr:absoluteAnchor>
    <xdr:pos x="0" y="0"/>
    <xdr:ext cx="9277089" cy="6041199"/>
    <xdr:graphicFrame macro="">
      <xdr:nvGraphicFramePr>
        <xdr:cNvPr id="2" name="Chart 1">
          <a:extLst>
            <a:ext uri="{FF2B5EF4-FFF2-40B4-BE49-F238E27FC236}">
              <a16:creationId xmlns:a16="http://schemas.microsoft.com/office/drawing/2014/main" id="{F184574F-ABF0-3555-666E-AE6673A724E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editAs="oneCell">
    <xdr:from>
      <xdr:col>4</xdr:col>
      <xdr:colOff>25400</xdr:colOff>
      <xdr:row>9</xdr:row>
      <xdr:rowOff>63500</xdr:rowOff>
    </xdr:from>
    <xdr:to>
      <xdr:col>6</xdr:col>
      <xdr:colOff>313929</xdr:colOff>
      <xdr:row>17</xdr:row>
      <xdr:rowOff>123633</xdr:rowOff>
    </xdr:to>
    <xdr:pic>
      <xdr:nvPicPr>
        <xdr:cNvPr id="2" name="Picture 1">
          <a:extLst>
            <a:ext uri="{FF2B5EF4-FFF2-40B4-BE49-F238E27FC236}">
              <a16:creationId xmlns:a16="http://schemas.microsoft.com/office/drawing/2014/main" id="{5FED0B3E-BCA6-AD57-6DF4-6EB91EC602B3}"/>
            </a:ext>
          </a:extLst>
        </xdr:cNvPr>
        <xdr:cNvPicPr>
          <a:picLocks noChangeAspect="1"/>
        </xdr:cNvPicPr>
      </xdr:nvPicPr>
      <xdr:blipFill>
        <a:blip xmlns:r="http://schemas.openxmlformats.org/officeDocument/2006/relationships" r:embed="rId1"/>
        <a:stretch>
          <a:fillRect/>
        </a:stretch>
      </xdr:blipFill>
      <xdr:spPr>
        <a:xfrm>
          <a:off x="3073400" y="615950"/>
          <a:ext cx="3171429" cy="1533333"/>
        </a:xfrm>
        <a:prstGeom prst="rect">
          <a:avLst/>
        </a:prstGeom>
      </xdr:spPr>
    </xdr:pic>
    <xdr:clientData/>
  </xdr:twoCellAnchor>
  <xdr:twoCellAnchor editAs="oneCell">
    <xdr:from>
      <xdr:col>0</xdr:col>
      <xdr:colOff>0</xdr:colOff>
      <xdr:row>9</xdr:row>
      <xdr:rowOff>171450</xdr:rowOff>
    </xdr:from>
    <xdr:to>
      <xdr:col>1</xdr:col>
      <xdr:colOff>673100</xdr:colOff>
      <xdr:row>16</xdr:row>
      <xdr:rowOff>67305</xdr:rowOff>
    </xdr:to>
    <xdr:pic>
      <xdr:nvPicPr>
        <xdr:cNvPr id="3" name="Picture 2">
          <a:extLst>
            <a:ext uri="{FF2B5EF4-FFF2-40B4-BE49-F238E27FC236}">
              <a16:creationId xmlns:a16="http://schemas.microsoft.com/office/drawing/2014/main" id="{5BA1605B-D8B6-1214-0877-B41C2B739C7F}"/>
            </a:ext>
          </a:extLst>
        </xdr:cNvPr>
        <xdr:cNvPicPr>
          <a:picLocks noChangeAspect="1"/>
        </xdr:cNvPicPr>
      </xdr:nvPicPr>
      <xdr:blipFill>
        <a:blip xmlns:r="http://schemas.openxmlformats.org/officeDocument/2006/relationships" r:embed="rId2"/>
        <a:stretch>
          <a:fillRect/>
        </a:stretch>
      </xdr:blipFill>
      <xdr:spPr>
        <a:xfrm>
          <a:off x="0" y="723900"/>
          <a:ext cx="3155950" cy="1184905"/>
        </a:xfrm>
        <a:prstGeom prst="rect">
          <a:avLst/>
        </a:prstGeom>
      </xdr:spPr>
    </xdr:pic>
    <xdr:clientData/>
  </xdr:twoCellAnchor>
  <xdr:twoCellAnchor editAs="oneCell">
    <xdr:from>
      <xdr:col>8</xdr:col>
      <xdr:colOff>1</xdr:colOff>
      <xdr:row>10</xdr:row>
      <xdr:rowOff>0</xdr:rowOff>
    </xdr:from>
    <xdr:to>
      <xdr:col>11</xdr:col>
      <xdr:colOff>615951</xdr:colOff>
      <xdr:row>23</xdr:row>
      <xdr:rowOff>82137</xdr:rowOff>
    </xdr:to>
    <xdr:pic>
      <xdr:nvPicPr>
        <xdr:cNvPr id="4" name="Picture 3">
          <a:extLst>
            <a:ext uri="{FF2B5EF4-FFF2-40B4-BE49-F238E27FC236}">
              <a16:creationId xmlns:a16="http://schemas.microsoft.com/office/drawing/2014/main" id="{E9AEBD05-676F-14EA-CE38-6EBDA024BE55}"/>
            </a:ext>
          </a:extLst>
        </xdr:cNvPr>
        <xdr:cNvPicPr>
          <a:picLocks noChangeAspect="1"/>
        </xdr:cNvPicPr>
      </xdr:nvPicPr>
      <xdr:blipFill>
        <a:blip xmlns:r="http://schemas.openxmlformats.org/officeDocument/2006/relationships" r:embed="rId3"/>
        <a:stretch>
          <a:fillRect/>
        </a:stretch>
      </xdr:blipFill>
      <xdr:spPr>
        <a:xfrm>
          <a:off x="6096001" y="793750"/>
          <a:ext cx="2901950" cy="2476087"/>
        </a:xfrm>
        <a:prstGeom prst="rect">
          <a:avLst/>
        </a:prstGeom>
      </xdr:spPr>
    </xdr:pic>
    <xdr:clientData/>
  </xdr:twoCellAnchor>
  <xdr:twoCellAnchor editAs="oneCell">
    <xdr:from>
      <xdr:col>8</xdr:col>
      <xdr:colOff>0</xdr:colOff>
      <xdr:row>42</xdr:row>
      <xdr:rowOff>1</xdr:rowOff>
    </xdr:from>
    <xdr:to>
      <xdr:col>16</xdr:col>
      <xdr:colOff>114300</xdr:colOff>
      <xdr:row>51</xdr:row>
      <xdr:rowOff>55651</xdr:rowOff>
    </xdr:to>
    <xdr:pic>
      <xdr:nvPicPr>
        <xdr:cNvPr id="5" name="Picture 4">
          <a:extLst>
            <a:ext uri="{FF2B5EF4-FFF2-40B4-BE49-F238E27FC236}">
              <a16:creationId xmlns:a16="http://schemas.microsoft.com/office/drawing/2014/main" id="{C52CDD1C-8F7A-777F-A62F-B6B930A7D700}"/>
            </a:ext>
          </a:extLst>
        </xdr:cNvPr>
        <xdr:cNvPicPr>
          <a:picLocks noChangeAspect="1"/>
        </xdr:cNvPicPr>
      </xdr:nvPicPr>
      <xdr:blipFill>
        <a:blip xmlns:r="http://schemas.openxmlformats.org/officeDocument/2006/relationships" r:embed="rId4"/>
        <a:stretch>
          <a:fillRect/>
        </a:stretch>
      </xdr:blipFill>
      <xdr:spPr>
        <a:xfrm>
          <a:off x="9931400" y="8782051"/>
          <a:ext cx="6210300" cy="1941600"/>
        </a:xfrm>
        <a:prstGeom prst="rect">
          <a:avLst/>
        </a:prstGeom>
      </xdr:spPr>
    </xdr:pic>
    <xdr:clientData/>
  </xdr:twoCellAnchor>
  <xdr:twoCellAnchor editAs="oneCell">
    <xdr:from>
      <xdr:col>4</xdr:col>
      <xdr:colOff>1</xdr:colOff>
      <xdr:row>73</xdr:row>
      <xdr:rowOff>1</xdr:rowOff>
    </xdr:from>
    <xdr:to>
      <xdr:col>6</xdr:col>
      <xdr:colOff>1120776</xdr:colOff>
      <xdr:row>77</xdr:row>
      <xdr:rowOff>127001</xdr:rowOff>
    </xdr:to>
    <xdr:pic>
      <xdr:nvPicPr>
        <xdr:cNvPr id="6" name="Picture 5">
          <a:extLst>
            <a:ext uri="{FF2B5EF4-FFF2-40B4-BE49-F238E27FC236}">
              <a16:creationId xmlns:a16="http://schemas.microsoft.com/office/drawing/2014/main" id="{60F33A42-2DCC-12BE-F102-43F825CF4D8A}"/>
            </a:ext>
          </a:extLst>
        </xdr:cNvPr>
        <xdr:cNvPicPr>
          <a:picLocks noChangeAspect="1"/>
        </xdr:cNvPicPr>
      </xdr:nvPicPr>
      <xdr:blipFill>
        <a:blip xmlns:r="http://schemas.openxmlformats.org/officeDocument/2006/relationships" r:embed="rId5"/>
        <a:stretch>
          <a:fillRect/>
        </a:stretch>
      </xdr:blipFill>
      <xdr:spPr>
        <a:xfrm>
          <a:off x="5067301" y="15093951"/>
          <a:ext cx="4089400" cy="1066800"/>
        </a:xfrm>
        <a:prstGeom prst="rect">
          <a:avLst/>
        </a:prstGeom>
      </xdr:spPr>
    </xdr:pic>
    <xdr:clientData/>
  </xdr:twoCellAnchor>
  <xdr:twoCellAnchor editAs="oneCell">
    <xdr:from>
      <xdr:col>4</xdr:col>
      <xdr:colOff>0</xdr:colOff>
      <xdr:row>79</xdr:row>
      <xdr:rowOff>0</xdr:rowOff>
    </xdr:from>
    <xdr:to>
      <xdr:col>7</xdr:col>
      <xdr:colOff>0</xdr:colOff>
      <xdr:row>83</xdr:row>
      <xdr:rowOff>122729</xdr:rowOff>
    </xdr:to>
    <xdr:pic>
      <xdr:nvPicPr>
        <xdr:cNvPr id="7" name="Picture 6">
          <a:extLst>
            <a:ext uri="{FF2B5EF4-FFF2-40B4-BE49-F238E27FC236}">
              <a16:creationId xmlns:a16="http://schemas.microsoft.com/office/drawing/2014/main" id="{3D6106A0-4414-1B70-4FA1-948A386DBD2B}"/>
            </a:ext>
          </a:extLst>
        </xdr:cNvPr>
        <xdr:cNvPicPr>
          <a:picLocks noChangeAspect="1"/>
        </xdr:cNvPicPr>
      </xdr:nvPicPr>
      <xdr:blipFill>
        <a:blip xmlns:r="http://schemas.openxmlformats.org/officeDocument/2006/relationships" r:embed="rId6"/>
        <a:stretch>
          <a:fillRect/>
        </a:stretch>
      </xdr:blipFill>
      <xdr:spPr>
        <a:xfrm>
          <a:off x="5067300" y="16592550"/>
          <a:ext cx="4025900" cy="859329"/>
        </a:xfrm>
        <a:prstGeom prst="rect">
          <a:avLst/>
        </a:prstGeom>
      </xdr:spPr>
    </xdr:pic>
    <xdr:clientData/>
  </xdr:twoCellAnchor>
  <xdr:twoCellAnchor editAs="oneCell">
    <xdr:from>
      <xdr:col>4</xdr:col>
      <xdr:colOff>57150</xdr:colOff>
      <xdr:row>78</xdr:row>
      <xdr:rowOff>82550</xdr:rowOff>
    </xdr:from>
    <xdr:to>
      <xdr:col>7</xdr:col>
      <xdr:colOff>3175</xdr:colOff>
      <xdr:row>79</xdr:row>
      <xdr:rowOff>111692</xdr:rowOff>
    </xdr:to>
    <xdr:pic>
      <xdr:nvPicPr>
        <xdr:cNvPr id="8" name="Picture 7">
          <a:extLst>
            <a:ext uri="{FF2B5EF4-FFF2-40B4-BE49-F238E27FC236}">
              <a16:creationId xmlns:a16="http://schemas.microsoft.com/office/drawing/2014/main" id="{2C23829E-63E0-F168-3010-01C68C94FE84}"/>
            </a:ext>
          </a:extLst>
        </xdr:cNvPr>
        <xdr:cNvPicPr>
          <a:picLocks noChangeAspect="1"/>
        </xdr:cNvPicPr>
      </xdr:nvPicPr>
      <xdr:blipFill>
        <a:blip xmlns:r="http://schemas.openxmlformats.org/officeDocument/2006/relationships" r:embed="rId7"/>
        <a:stretch>
          <a:fillRect/>
        </a:stretch>
      </xdr:blipFill>
      <xdr:spPr>
        <a:xfrm>
          <a:off x="5124450" y="16490950"/>
          <a:ext cx="3981450" cy="2132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6350</xdr:colOff>
      <xdr:row>24</xdr:row>
      <xdr:rowOff>234950</xdr:rowOff>
    </xdr:from>
    <xdr:to>
      <xdr:col>5</xdr:col>
      <xdr:colOff>228600</xdr:colOff>
      <xdr:row>39</xdr:row>
      <xdr:rowOff>0</xdr:rowOff>
    </xdr:to>
    <xdr:grpSp>
      <xdr:nvGrpSpPr>
        <xdr:cNvPr id="2" name="Group 1">
          <a:extLst>
            <a:ext uri="{FF2B5EF4-FFF2-40B4-BE49-F238E27FC236}">
              <a16:creationId xmlns:a16="http://schemas.microsoft.com/office/drawing/2014/main" id="{B5CD6A9A-4EE7-4448-9D05-1C8B4BE5FF0C}"/>
            </a:ext>
          </a:extLst>
        </xdr:cNvPr>
        <xdr:cNvGrpSpPr/>
      </xdr:nvGrpSpPr>
      <xdr:grpSpPr>
        <a:xfrm>
          <a:off x="6350" y="4616450"/>
          <a:ext cx="5851525" cy="3079750"/>
          <a:chOff x="7867650" y="3733800"/>
          <a:chExt cx="4876800" cy="3784600"/>
        </a:xfrm>
      </xdr:grpSpPr>
      <xdr:cxnSp macro="">
        <xdr:nvCxnSpPr>
          <xdr:cNvPr id="3" name="Straight Connector 2">
            <a:extLst>
              <a:ext uri="{FF2B5EF4-FFF2-40B4-BE49-F238E27FC236}">
                <a16:creationId xmlns:a16="http://schemas.microsoft.com/office/drawing/2014/main" id="{E8EEC206-D0AC-F6AB-3925-4069FCD81F68}"/>
              </a:ext>
            </a:extLst>
          </xdr:cNvPr>
          <xdr:cNvCxnSpPr/>
        </xdr:nvCxnSpPr>
        <xdr:spPr>
          <a:xfrm>
            <a:off x="8362951" y="4286251"/>
            <a:ext cx="3854450" cy="0"/>
          </a:xfrm>
          <a:prstGeom prst="line">
            <a:avLst/>
          </a:prstGeom>
          <a:ln w="57150">
            <a:solidFill>
              <a:schemeClr val="accent5">
                <a:lumMod val="60000"/>
                <a:lumOff val="40000"/>
              </a:schemeClr>
            </a:solidFill>
          </a:ln>
        </xdr:spPr>
        <xdr:style>
          <a:lnRef idx="2">
            <a:schemeClr val="accent1"/>
          </a:lnRef>
          <a:fillRef idx="0">
            <a:schemeClr val="accent1"/>
          </a:fillRef>
          <a:effectRef idx="1">
            <a:schemeClr val="accent1"/>
          </a:effectRef>
          <a:fontRef idx="minor">
            <a:schemeClr val="tx1"/>
          </a:fontRef>
        </xdr:style>
      </xdr:cxnSp>
      <xdr:sp macro="" textlink="">
        <xdr:nvSpPr>
          <xdr:cNvPr id="4" name="TextBox 3">
            <a:extLst>
              <a:ext uri="{FF2B5EF4-FFF2-40B4-BE49-F238E27FC236}">
                <a16:creationId xmlns:a16="http://schemas.microsoft.com/office/drawing/2014/main" id="{A4215DD0-E5F3-14D8-D1DA-1F0CB40ACE88}"/>
              </a:ext>
            </a:extLst>
          </xdr:cNvPr>
          <xdr:cNvSpPr txBox="1"/>
        </xdr:nvSpPr>
        <xdr:spPr>
          <a:xfrm>
            <a:off x="9721850" y="3937000"/>
            <a:ext cx="1130300" cy="298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100" b="1"/>
              <a:t>DBNGP</a:t>
            </a:r>
          </a:p>
        </xdr:txBody>
      </xdr:sp>
      <xdr:sp macro="" textlink="">
        <xdr:nvSpPr>
          <xdr:cNvPr id="5" name="Flowchart: Merge 4">
            <a:extLst>
              <a:ext uri="{FF2B5EF4-FFF2-40B4-BE49-F238E27FC236}">
                <a16:creationId xmlns:a16="http://schemas.microsoft.com/office/drawing/2014/main" id="{E048026B-EB5F-392E-12A6-A6AB4E11BB16}"/>
              </a:ext>
            </a:extLst>
          </xdr:cNvPr>
          <xdr:cNvSpPr/>
        </xdr:nvSpPr>
        <xdr:spPr>
          <a:xfrm>
            <a:off x="10007600" y="4540250"/>
            <a:ext cx="222250" cy="171450"/>
          </a:xfrm>
          <a:prstGeom prst="flowChartMerge">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sp macro="" textlink="">
        <xdr:nvSpPr>
          <xdr:cNvPr id="6" name="Flowchart: Merge 5">
            <a:extLst>
              <a:ext uri="{FF2B5EF4-FFF2-40B4-BE49-F238E27FC236}">
                <a16:creationId xmlns:a16="http://schemas.microsoft.com/office/drawing/2014/main" id="{5507B2D4-D949-56E0-4269-E4E426243C3D}"/>
              </a:ext>
            </a:extLst>
          </xdr:cNvPr>
          <xdr:cNvSpPr/>
        </xdr:nvSpPr>
        <xdr:spPr>
          <a:xfrm>
            <a:off x="10363200" y="4540250"/>
            <a:ext cx="222250" cy="171450"/>
          </a:xfrm>
          <a:prstGeom prst="flowChartMerge">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sp macro="" textlink="">
        <xdr:nvSpPr>
          <xdr:cNvPr id="7" name="Rectangle 6">
            <a:extLst>
              <a:ext uri="{FF2B5EF4-FFF2-40B4-BE49-F238E27FC236}">
                <a16:creationId xmlns:a16="http://schemas.microsoft.com/office/drawing/2014/main" id="{D5923225-EE61-596A-8553-B437E5115FD6}"/>
              </a:ext>
            </a:extLst>
          </xdr:cNvPr>
          <xdr:cNvSpPr/>
        </xdr:nvSpPr>
        <xdr:spPr>
          <a:xfrm>
            <a:off x="9855200" y="4470400"/>
            <a:ext cx="876300" cy="31750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sp macro="" textlink="">
        <xdr:nvSpPr>
          <xdr:cNvPr id="8" name="Rectangle 7">
            <a:extLst>
              <a:ext uri="{FF2B5EF4-FFF2-40B4-BE49-F238E27FC236}">
                <a16:creationId xmlns:a16="http://schemas.microsoft.com/office/drawing/2014/main" id="{D3E6C7B3-FDAE-CDBD-96FE-6F700D403115}"/>
              </a:ext>
            </a:extLst>
          </xdr:cNvPr>
          <xdr:cNvSpPr/>
        </xdr:nvSpPr>
        <xdr:spPr>
          <a:xfrm>
            <a:off x="10061575" y="6292850"/>
            <a:ext cx="463550" cy="33020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xnSp macro="">
        <xdr:nvCxnSpPr>
          <xdr:cNvPr id="9" name="Straight Connector 8">
            <a:extLst>
              <a:ext uri="{FF2B5EF4-FFF2-40B4-BE49-F238E27FC236}">
                <a16:creationId xmlns:a16="http://schemas.microsoft.com/office/drawing/2014/main" id="{F3ECD3E0-C523-2608-84F7-64FE5A039C96}"/>
              </a:ext>
            </a:extLst>
          </xdr:cNvPr>
          <xdr:cNvCxnSpPr/>
        </xdr:nvCxnSpPr>
        <xdr:spPr>
          <a:xfrm>
            <a:off x="10290175" y="4298950"/>
            <a:ext cx="6350" cy="171450"/>
          </a:xfrm>
          <a:prstGeom prst="line">
            <a:avLst/>
          </a:prstGeom>
        </xdr:spPr>
        <xdr:style>
          <a:lnRef idx="2">
            <a:schemeClr val="accent1"/>
          </a:lnRef>
          <a:fillRef idx="0">
            <a:schemeClr val="accent1"/>
          </a:fillRef>
          <a:effectRef idx="1">
            <a:schemeClr val="accent1"/>
          </a:effectRef>
          <a:fontRef idx="minor">
            <a:schemeClr val="tx1"/>
          </a:fontRef>
        </xdr:style>
      </xdr:cxnSp>
      <xdr:cxnSp macro="">
        <xdr:nvCxnSpPr>
          <xdr:cNvPr id="10" name="Straight Connector 9">
            <a:extLst>
              <a:ext uri="{FF2B5EF4-FFF2-40B4-BE49-F238E27FC236}">
                <a16:creationId xmlns:a16="http://schemas.microsoft.com/office/drawing/2014/main" id="{DC665F61-866C-8BC0-E0F7-B29F9BE4B17B}"/>
              </a:ext>
            </a:extLst>
          </xdr:cNvPr>
          <xdr:cNvCxnSpPr/>
        </xdr:nvCxnSpPr>
        <xdr:spPr>
          <a:xfrm>
            <a:off x="10264775" y="4787900"/>
            <a:ext cx="57150" cy="1504950"/>
          </a:xfrm>
          <a:prstGeom prst="line">
            <a:avLst/>
          </a:prstGeom>
        </xdr:spPr>
        <xdr:style>
          <a:lnRef idx="2">
            <a:schemeClr val="accent1"/>
          </a:lnRef>
          <a:fillRef idx="0">
            <a:schemeClr val="accent1"/>
          </a:fillRef>
          <a:effectRef idx="1">
            <a:schemeClr val="accent1"/>
          </a:effectRef>
          <a:fontRef idx="minor">
            <a:schemeClr val="tx1"/>
          </a:fontRef>
        </xdr:style>
      </xdr:cxnSp>
      <xdr:cxnSp macro="">
        <xdr:nvCxnSpPr>
          <xdr:cNvPr id="11" name="Straight Arrow Connector 10">
            <a:extLst>
              <a:ext uri="{FF2B5EF4-FFF2-40B4-BE49-F238E27FC236}">
                <a16:creationId xmlns:a16="http://schemas.microsoft.com/office/drawing/2014/main" id="{43F5DB8E-5C0D-F311-A5F5-3A958018D0D4}"/>
              </a:ext>
            </a:extLst>
          </xdr:cNvPr>
          <xdr:cNvCxnSpPr/>
        </xdr:nvCxnSpPr>
        <xdr:spPr>
          <a:xfrm>
            <a:off x="10291763" y="6623050"/>
            <a:ext cx="3175" cy="1397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sp macro="" textlink="">
        <xdr:nvSpPr>
          <xdr:cNvPr id="12" name="TextBox 11">
            <a:extLst>
              <a:ext uri="{FF2B5EF4-FFF2-40B4-BE49-F238E27FC236}">
                <a16:creationId xmlns:a16="http://schemas.microsoft.com/office/drawing/2014/main" id="{B5FE6742-0A4D-AC50-5F72-03A4D95B2D95}"/>
              </a:ext>
            </a:extLst>
          </xdr:cNvPr>
          <xdr:cNvSpPr txBox="1"/>
        </xdr:nvSpPr>
        <xdr:spPr>
          <a:xfrm>
            <a:off x="9823450" y="6769100"/>
            <a:ext cx="952500" cy="361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100"/>
              <a:t>Power station</a:t>
            </a:r>
          </a:p>
        </xdr:txBody>
      </xdr:sp>
      <xdr:sp macro="" textlink="">
        <xdr:nvSpPr>
          <xdr:cNvPr id="13" name="TextBox 12">
            <a:extLst>
              <a:ext uri="{FF2B5EF4-FFF2-40B4-BE49-F238E27FC236}">
                <a16:creationId xmlns:a16="http://schemas.microsoft.com/office/drawing/2014/main" id="{EA8A6AE0-FC28-AB63-B0C4-495E2ED5893B}"/>
              </a:ext>
            </a:extLst>
          </xdr:cNvPr>
          <xdr:cNvSpPr txBox="1"/>
        </xdr:nvSpPr>
        <xdr:spPr>
          <a:xfrm>
            <a:off x="11201400" y="6242050"/>
            <a:ext cx="95250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100"/>
              <a:t>Facilities</a:t>
            </a:r>
          </a:p>
        </xdr:txBody>
      </xdr:sp>
      <xdr:sp macro="" textlink="">
        <xdr:nvSpPr>
          <xdr:cNvPr id="14" name="TextBox 13">
            <a:extLst>
              <a:ext uri="{FF2B5EF4-FFF2-40B4-BE49-F238E27FC236}">
                <a16:creationId xmlns:a16="http://schemas.microsoft.com/office/drawing/2014/main" id="{24C8D5A0-894C-D9D5-26DF-145B00BA1735}"/>
              </a:ext>
            </a:extLst>
          </xdr:cNvPr>
          <xdr:cNvSpPr txBox="1"/>
        </xdr:nvSpPr>
        <xdr:spPr>
          <a:xfrm>
            <a:off x="11109325" y="5359400"/>
            <a:ext cx="113665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100"/>
              <a:t>Storage lateral</a:t>
            </a:r>
          </a:p>
        </xdr:txBody>
      </xdr:sp>
      <xdr:sp macro="" textlink="">
        <xdr:nvSpPr>
          <xdr:cNvPr id="15" name="TextBox 14">
            <a:extLst>
              <a:ext uri="{FF2B5EF4-FFF2-40B4-BE49-F238E27FC236}">
                <a16:creationId xmlns:a16="http://schemas.microsoft.com/office/drawing/2014/main" id="{C859255D-53D7-E718-A762-7309FD41A27B}"/>
              </a:ext>
            </a:extLst>
          </xdr:cNvPr>
          <xdr:cNvSpPr txBox="1"/>
        </xdr:nvSpPr>
        <xdr:spPr>
          <a:xfrm>
            <a:off x="10934700" y="4406900"/>
            <a:ext cx="1485900" cy="590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100"/>
              <a:t>Compressor station duty/standby</a:t>
            </a:r>
          </a:p>
        </xdr:txBody>
      </xdr:sp>
      <xdr:sp macro="" textlink="">
        <xdr:nvSpPr>
          <xdr:cNvPr id="16" name="Rectangle 15">
            <a:extLst>
              <a:ext uri="{FF2B5EF4-FFF2-40B4-BE49-F238E27FC236}">
                <a16:creationId xmlns:a16="http://schemas.microsoft.com/office/drawing/2014/main" id="{356720AE-8E4A-6155-091C-82D22B7F5614}"/>
              </a:ext>
            </a:extLst>
          </xdr:cNvPr>
          <xdr:cNvSpPr/>
        </xdr:nvSpPr>
        <xdr:spPr>
          <a:xfrm>
            <a:off x="7867650" y="3733800"/>
            <a:ext cx="4876800" cy="37846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ln>
                <a:noFill/>
              </a:ln>
              <a:noFill/>
            </a:endParaRPr>
          </a:p>
        </xdr:txBody>
      </xdr:sp>
    </xdr:grpSp>
    <xdr:clientData/>
  </xdr:twoCellAnchor>
  <xdr:twoCellAnchor editAs="oneCell">
    <xdr:from>
      <xdr:col>2</xdr:col>
      <xdr:colOff>0</xdr:colOff>
      <xdr:row>70</xdr:row>
      <xdr:rowOff>0</xdr:rowOff>
    </xdr:from>
    <xdr:to>
      <xdr:col>8</xdr:col>
      <xdr:colOff>482600</xdr:colOff>
      <xdr:row>78</xdr:row>
      <xdr:rowOff>40419</xdr:rowOff>
    </xdr:to>
    <xdr:pic>
      <xdr:nvPicPr>
        <xdr:cNvPr id="17" name="Picture 16">
          <a:extLst>
            <a:ext uri="{FF2B5EF4-FFF2-40B4-BE49-F238E27FC236}">
              <a16:creationId xmlns:a16="http://schemas.microsoft.com/office/drawing/2014/main" id="{6819650F-CD43-897F-259A-A26D2D5246B9}"/>
            </a:ext>
          </a:extLst>
        </xdr:cNvPr>
        <xdr:cNvPicPr>
          <a:picLocks noChangeAspect="1"/>
        </xdr:cNvPicPr>
      </xdr:nvPicPr>
      <xdr:blipFill>
        <a:blip xmlns:r="http://schemas.openxmlformats.org/officeDocument/2006/relationships" r:embed="rId1"/>
        <a:stretch>
          <a:fillRect/>
        </a:stretch>
      </xdr:blipFill>
      <xdr:spPr>
        <a:xfrm>
          <a:off x="3835400" y="25787350"/>
          <a:ext cx="4572000" cy="15707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1</xdr:colOff>
      <xdr:row>12</xdr:row>
      <xdr:rowOff>1</xdr:rowOff>
    </xdr:from>
    <xdr:to>
      <xdr:col>17</xdr:col>
      <xdr:colOff>365986</xdr:colOff>
      <xdr:row>21</xdr:row>
      <xdr:rowOff>44451</xdr:rowOff>
    </xdr:to>
    <xdr:pic>
      <xdr:nvPicPr>
        <xdr:cNvPr id="2" name="Picture 1">
          <a:extLst>
            <a:ext uri="{FF2B5EF4-FFF2-40B4-BE49-F238E27FC236}">
              <a16:creationId xmlns:a16="http://schemas.microsoft.com/office/drawing/2014/main" id="{4641779F-42C8-3C2B-17C0-DCA03875C503}"/>
            </a:ext>
          </a:extLst>
        </xdr:cNvPr>
        <xdr:cNvPicPr>
          <a:picLocks noChangeAspect="1"/>
        </xdr:cNvPicPr>
      </xdr:nvPicPr>
      <xdr:blipFill>
        <a:blip xmlns:r="http://schemas.openxmlformats.org/officeDocument/2006/relationships" r:embed="rId1"/>
        <a:stretch>
          <a:fillRect/>
        </a:stretch>
      </xdr:blipFill>
      <xdr:spPr>
        <a:xfrm>
          <a:off x="10248901" y="2209801"/>
          <a:ext cx="3413985" cy="25019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6</xdr:col>
      <xdr:colOff>608940</xdr:colOff>
      <xdr:row>10</xdr:row>
      <xdr:rowOff>206038</xdr:rowOff>
    </xdr:to>
    <xdr:pic>
      <xdr:nvPicPr>
        <xdr:cNvPr id="2" name="Picture 1">
          <a:extLst>
            <a:ext uri="{FF2B5EF4-FFF2-40B4-BE49-F238E27FC236}">
              <a16:creationId xmlns:a16="http://schemas.microsoft.com/office/drawing/2014/main" id="{89ABCDFC-DAE3-1873-0A9A-C2604D87B7B5}"/>
            </a:ext>
          </a:extLst>
        </xdr:cNvPr>
        <xdr:cNvPicPr>
          <a:picLocks noChangeAspect="1"/>
        </xdr:cNvPicPr>
      </xdr:nvPicPr>
      <xdr:blipFill>
        <a:blip xmlns:r="http://schemas.openxmlformats.org/officeDocument/2006/relationships" r:embed="rId1"/>
        <a:stretch>
          <a:fillRect/>
        </a:stretch>
      </xdr:blipFill>
      <xdr:spPr>
        <a:xfrm>
          <a:off x="0" y="368300"/>
          <a:ext cx="5276190" cy="269523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Zauner/Documents/SKM%20Projects/DIMERS%20WA%20RLB%20RCM%20review/Documents/Thermoflow/TFlow33/20260721%20PEACE%20summary.xlsx" TargetMode="External"/><Relationship Id="rId2" Type="http://schemas.openxmlformats.org/officeDocument/2006/relationships/externalLinkPath" Target="file:///C:\Users\RZauner\Documents\SKM%20Projects\DIMERS%20WA%20RLB%20RCM%20review\Documents\Thermoflow\TFlow33\20260721%20PEACE%20summary.xlsx" TargetMode="External"/><Relationship Id="rId1" Type="http://schemas.openxmlformats.org/officeDocument/2006/relationships/externalLinkPath" Target="/Users/RZauner/Documents/SKM%20Projects/DIMERS%20WA%20RLB%20RCM%20review/Documents/Thermoflow/TFlow33/20260721%20PEACE%20summar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ransfer"/>
      <sheetName val="Static"/>
      <sheetName val="DiagsH&amp;MB"/>
    </sheetNames>
    <sheetDataSet>
      <sheetData sheetId="0"/>
      <sheetData sheetId="1"/>
      <sheetData sheetId="2" refreshError="1"/>
    </sheetDataSet>
  </externalBook>
</externalLink>
</file>

<file path=xl/theme/theme1.xml><?xml version="1.0" encoding="utf-8"?>
<a:theme xmlns:a="http://schemas.openxmlformats.org/drawingml/2006/main" name="Office Theme">
  <a:themeElements>
    <a:clrScheme name="Jacobs Accents Blue">
      <a:dk1>
        <a:srgbClr val="000000"/>
      </a:dk1>
      <a:lt1>
        <a:srgbClr val="FFFFFF"/>
      </a:lt1>
      <a:dk2>
        <a:srgbClr val="333333"/>
      </a:dk2>
      <a:lt2>
        <a:srgbClr val="E6E6E6"/>
      </a:lt2>
      <a:accent1>
        <a:srgbClr val="231EDC"/>
      </a:accent1>
      <a:accent2>
        <a:srgbClr val="0A7DFF"/>
      </a:accent2>
      <a:accent3>
        <a:srgbClr val="5AE6FF"/>
      </a:accent3>
      <a:accent4>
        <a:srgbClr val="001E55"/>
      </a:accent4>
      <a:accent5>
        <a:srgbClr val="A5A5A5"/>
      </a:accent5>
      <a:accent6>
        <a:srgbClr val="C8C8C8"/>
      </a:accent6>
      <a:hlink>
        <a:srgbClr val="231EDC"/>
      </a:hlink>
      <a:folHlink>
        <a:srgbClr val="E5E5E5"/>
      </a:folHlink>
    </a:clrScheme>
    <a:fontScheme name="JacobsChronos">
      <a:majorFont>
        <a:latin typeface="Jacobs Chronos"/>
        <a:ea typeface=""/>
        <a:cs typeface=""/>
      </a:majorFont>
      <a:minorFont>
        <a:latin typeface="Jacobs Chronos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wa.gov.au/organisation/energy-policy-wa/fixed-capital-contribution-consult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www.erawa.com.au/sites/default/files/2026-27-price-list-for-the-western-power-network.PDF"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wa.gov.au/organisation/energy-policy-wa/business-and-government-gas-pricing" TargetMode="External"/><Relationship Id="rId1" Type="http://schemas.openxmlformats.org/officeDocument/2006/relationships/hyperlink" Target="https://www.erawa.com.au/access/gas-access/dampier-to-bunbury-natural-gas-pipeline/tariff-variations" TargetMode="Externa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hyperlink" Target="http://www.abs.gov.au/" TargetMode="External"/><Relationship Id="rId2" Type="http://schemas.openxmlformats.org/officeDocument/2006/relationships/hyperlink" Target="https://www.rba.gov.au/statistics/tables/xls-hist/2023-current.xls?v=2026-07-02-11-27-20" TargetMode="External"/><Relationship Id="rId1" Type="http://schemas.openxmlformats.org/officeDocument/2006/relationships/hyperlink" Target="http://www.wmcompany.com/" TargetMode="External"/><Relationship Id="rId6" Type="http://schemas.openxmlformats.org/officeDocument/2006/relationships/drawing" Target="../drawings/drawing5.xml"/><Relationship Id="rId5" Type="http://schemas.openxmlformats.org/officeDocument/2006/relationships/printerSettings" Target="../printerSettings/printerSettings8.bin"/><Relationship Id="rId4" Type="http://schemas.openxmlformats.org/officeDocument/2006/relationships/hyperlink" Target="https://www.rba.gov.au/statistics/tables/xls/g01hist.xlsx?v=2026-07-22-16-00-5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aemo.com.au/-/media/files/major-publications/isp/2026/supporting-materials/2026-isp-inputs-and-assumptions-workbook.xlsm?rev=de6f5853cd5e4d5cbb06bc90bdf0e378&amp;sc_lang=en"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C8C52-5E3A-4003-BF49-1581E9B9F4B6}">
  <dimension ref="A18:A20"/>
  <sheetViews>
    <sheetView workbookViewId="0">
      <selection activeCell="A19" sqref="A19"/>
    </sheetView>
  </sheetViews>
  <sheetFormatPr defaultRowHeight="14.25"/>
  <sheetData>
    <row r="18" spans="1:1">
      <c r="A18" s="192" t="s">
        <v>0</v>
      </c>
    </row>
    <row r="20" spans="1:1">
      <c r="A20" s="193" t="s">
        <v>1</v>
      </c>
    </row>
  </sheetData>
  <pageMargins left="0.7" right="0.7" top="0.75" bottom="0.75" header="0.3" footer="0.3"/>
  <pageSetup paperSize="9" orientation="portrait" r:id="rId1"/>
  <headerFooter>
    <oddHeader>&amp;C&amp;"Aptos"&amp;10&amp;KFF0000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4FD69-F1FE-445E-BDD0-EA62B7E1BDAD}">
  <dimension ref="A1:AC110"/>
  <sheetViews>
    <sheetView tabSelected="1" topLeftCell="N58" zoomScale="80" zoomScaleNormal="80" workbookViewId="0">
      <selection activeCell="AF81" sqref="AF81"/>
    </sheetView>
  </sheetViews>
  <sheetFormatPr defaultRowHeight="14.25"/>
  <cols>
    <col min="1" max="1" width="33.125" customWidth="1"/>
    <col min="2" max="2" width="12.25" customWidth="1"/>
    <col min="4" max="4" width="25.875" customWidth="1"/>
    <col min="7" max="29" width="15.625" customWidth="1"/>
  </cols>
  <sheetData>
    <row r="1" spans="1:6" ht="18">
      <c r="A1" s="151" t="s">
        <v>2</v>
      </c>
    </row>
    <row r="4" spans="1:6">
      <c r="A4" t="s">
        <v>3</v>
      </c>
      <c r="B4" s="124">
        <v>46203</v>
      </c>
    </row>
    <row r="5" spans="1:6">
      <c r="A5" t="s">
        <v>4</v>
      </c>
      <c r="B5" s="124">
        <v>47299</v>
      </c>
      <c r="F5" s="73" t="s">
        <v>5</v>
      </c>
    </row>
    <row r="8" spans="1:6">
      <c r="A8" t="s">
        <v>6</v>
      </c>
      <c r="B8" s="124">
        <v>45838</v>
      </c>
      <c r="F8" s="73" t="s">
        <v>7</v>
      </c>
    </row>
    <row r="9" spans="1:6">
      <c r="A9" t="s">
        <v>8</v>
      </c>
      <c r="B9">
        <f>VLOOKUP(FX_Date,fx_table,2)</f>
        <v>0.65500000000000003</v>
      </c>
    </row>
    <row r="11" spans="1:6">
      <c r="A11" t="s">
        <v>9</v>
      </c>
      <c r="B11" s="41">
        <f>FX_Date</f>
        <v>45838</v>
      </c>
      <c r="F11" s="73" t="s">
        <v>10</v>
      </c>
    </row>
    <row r="12" spans="1:6">
      <c r="A12" t="s">
        <v>11</v>
      </c>
      <c r="B12" s="123">
        <f>VLOOKUP(CPI_Hist_Ref_Date,CPI_Historic_table,2)</f>
        <v>98.43</v>
      </c>
    </row>
    <row r="13" spans="1:6">
      <c r="A13" t="s">
        <v>12</v>
      </c>
      <c r="B13" s="123">
        <f>VLOOKUP(Date_Current,CPI_Historic_table,2)</f>
        <v>101.7</v>
      </c>
    </row>
    <row r="14" spans="1:6">
      <c r="A14" t="s">
        <v>13</v>
      </c>
      <c r="B14" s="123">
        <f>VLOOKUP(Date_BRCP,CPI_fcst_Table,3)</f>
        <v>111.38681158120581</v>
      </c>
    </row>
    <row r="16" spans="1:6">
      <c r="A16" t="s">
        <v>14</v>
      </c>
      <c r="B16" s="122">
        <v>0.1085</v>
      </c>
      <c r="F16" s="73" t="s">
        <v>15</v>
      </c>
    </row>
    <row r="17" spans="1:6">
      <c r="A17" t="s">
        <v>16</v>
      </c>
      <c r="B17" s="134">
        <v>15</v>
      </c>
      <c r="F17" s="73" t="s">
        <v>15</v>
      </c>
    </row>
    <row r="18" spans="1:6">
      <c r="A18" t="s">
        <v>17</v>
      </c>
      <c r="B18" s="134">
        <v>1</v>
      </c>
      <c r="F18" s="73"/>
    </row>
    <row r="20" spans="1:6">
      <c r="A20" t="s">
        <v>18</v>
      </c>
      <c r="B20" s="131">
        <v>0.12</v>
      </c>
      <c r="F20" s="73" t="s">
        <v>19</v>
      </c>
    </row>
    <row r="21" spans="1:6">
      <c r="A21" t="s">
        <v>20</v>
      </c>
      <c r="B21" s="134">
        <v>200</v>
      </c>
      <c r="C21" t="s">
        <v>21</v>
      </c>
      <c r="F21" s="73" t="s">
        <v>22</v>
      </c>
    </row>
    <row r="23" spans="1:6">
      <c r="A23" t="s">
        <v>23</v>
      </c>
      <c r="B23" s="134">
        <v>20</v>
      </c>
      <c r="C23" t="s">
        <v>24</v>
      </c>
      <c r="F23" s="73" t="s">
        <v>25</v>
      </c>
    </row>
    <row r="24" spans="1:6">
      <c r="A24" t="s">
        <v>26</v>
      </c>
      <c r="B24" s="134" t="b">
        <v>1</v>
      </c>
      <c r="F24" s="73" t="s">
        <v>27</v>
      </c>
    </row>
    <row r="25" spans="1:6">
      <c r="A25" t="s">
        <v>28</v>
      </c>
      <c r="B25" s="154">
        <v>100000</v>
      </c>
      <c r="C25" t="s">
        <v>29</v>
      </c>
      <c r="F25" s="40" t="s">
        <v>30</v>
      </c>
    </row>
    <row r="27" spans="1:6">
      <c r="A27" t="s">
        <v>31</v>
      </c>
      <c r="B27" s="140" t="s">
        <v>32</v>
      </c>
    </row>
    <row r="28" spans="1:6">
      <c r="A28" t="s">
        <v>33</v>
      </c>
      <c r="B28" s="127">
        <f>VLOOKUP(SiteLocation,LandgateTable,3,FALSE)</f>
        <v>536250</v>
      </c>
      <c r="C28" t="s">
        <v>34</v>
      </c>
      <c r="F28" s="73" t="s">
        <v>35</v>
      </c>
    </row>
    <row r="29" spans="1:6">
      <c r="A29" t="s">
        <v>36</v>
      </c>
      <c r="B29" s="131">
        <v>0.3</v>
      </c>
      <c r="F29" s="73" t="s">
        <v>37</v>
      </c>
    </row>
    <row r="31" spans="1:6">
      <c r="A31" t="s">
        <v>38</v>
      </c>
    </row>
    <row r="32" spans="1:6">
      <c r="A32" s="149" t="s">
        <v>39</v>
      </c>
      <c r="B32" s="122">
        <v>5.0000000000000001E-3</v>
      </c>
      <c r="F32" s="73" t="s">
        <v>40</v>
      </c>
    </row>
    <row r="33" spans="1:6">
      <c r="A33" s="149" t="s">
        <v>41</v>
      </c>
      <c r="B33" s="122">
        <v>2.5000000000000001E-3</v>
      </c>
      <c r="F33" s="73" t="s">
        <v>40</v>
      </c>
    </row>
    <row r="35" spans="1:6">
      <c r="A35" t="s">
        <v>42</v>
      </c>
      <c r="F35" s="73" t="s">
        <v>43</v>
      </c>
    </row>
    <row r="36" spans="1:6">
      <c r="A36" s="149" t="s">
        <v>44</v>
      </c>
      <c r="B36">
        <f>TUOS_centsPerkWperDay</f>
        <v>2.1469999999999998</v>
      </c>
      <c r="C36" t="s">
        <v>45</v>
      </c>
    </row>
    <row r="37" spans="1:6">
      <c r="A37" s="149" t="s">
        <v>46</v>
      </c>
      <c r="B37">
        <f>TUOS_ControlSystemServei_centsPerkWPerDay</f>
        <v>0.30499999999999999</v>
      </c>
      <c r="C37" t="s">
        <v>45</v>
      </c>
    </row>
    <row r="38" spans="1:6">
      <c r="A38" s="149" t="s">
        <v>47</v>
      </c>
      <c r="B38">
        <f>TUOS_Metering_centsPerMeterPerDay</f>
        <v>1211.979</v>
      </c>
      <c r="C38" t="s">
        <v>48</v>
      </c>
    </row>
    <row r="40" spans="1:6">
      <c r="A40" t="s">
        <v>49</v>
      </c>
      <c r="B40" s="90">
        <f>Gas_DBNGPTariff_DollarsPerGJPerDay</f>
        <v>1.8188279999999999</v>
      </c>
      <c r="C40" t="s">
        <v>50</v>
      </c>
      <c r="F40" s="73" t="s">
        <v>51</v>
      </c>
    </row>
    <row r="42" spans="1:6">
      <c r="A42" t="s">
        <v>52</v>
      </c>
      <c r="B42" s="154">
        <v>1312875</v>
      </c>
      <c r="C42" t="s">
        <v>53</v>
      </c>
      <c r="F42" s="73" t="s">
        <v>54</v>
      </c>
    </row>
    <row r="43" spans="1:6">
      <c r="A43" t="s">
        <v>55</v>
      </c>
      <c r="B43" s="122">
        <v>3.0000000000000001E-3</v>
      </c>
      <c r="C43" t="s">
        <v>56</v>
      </c>
      <c r="F43" s="73" t="s">
        <v>57</v>
      </c>
    </row>
    <row r="44" spans="1:6">
      <c r="A44" t="s">
        <v>58</v>
      </c>
      <c r="B44" s="154">
        <v>168480</v>
      </c>
      <c r="C44" t="s">
        <v>53</v>
      </c>
      <c r="F44" s="73" t="s">
        <v>59</v>
      </c>
    </row>
    <row r="45" spans="1:6">
      <c r="A45" t="s">
        <v>60</v>
      </c>
      <c r="B45" s="154">
        <v>221986</v>
      </c>
      <c r="C45" t="s">
        <v>61</v>
      </c>
      <c r="F45" s="73" t="s">
        <v>62</v>
      </c>
    </row>
    <row r="46" spans="1:6">
      <c r="B46" s="127">
        <f>B45/7.3</f>
        <v>30409.04109589041</v>
      </c>
      <c r="C46" t="s">
        <v>34</v>
      </c>
      <c r="F46" s="73"/>
    </row>
    <row r="47" spans="1:6">
      <c r="B47" s="127"/>
      <c r="F47" s="73"/>
    </row>
    <row r="48" spans="1:6">
      <c r="A48" t="s">
        <v>63</v>
      </c>
      <c r="B48" s="154">
        <v>14</v>
      </c>
      <c r="C48" t="s">
        <v>64</v>
      </c>
      <c r="F48" s="73"/>
    </row>
    <row r="49" spans="1:29">
      <c r="A49" t="s">
        <v>65</v>
      </c>
      <c r="B49" s="154">
        <f>1.5*24</f>
        <v>36</v>
      </c>
      <c r="C49" t="s">
        <v>64</v>
      </c>
      <c r="F49" s="73" t="s">
        <v>66</v>
      </c>
    </row>
    <row r="50" spans="1:29">
      <c r="A50" t="s">
        <v>67</v>
      </c>
      <c r="B50" s="134">
        <v>45</v>
      </c>
      <c r="C50" t="s">
        <v>68</v>
      </c>
      <c r="F50" s="73" t="s">
        <v>69</v>
      </c>
    </row>
    <row r="52" spans="1:29" ht="15">
      <c r="A52" s="42" t="s">
        <v>70</v>
      </c>
    </row>
    <row r="53" spans="1:29" s="39" customFormat="1" ht="15">
      <c r="A53" s="99" t="s">
        <v>71</v>
      </c>
      <c r="B53" s="37"/>
      <c r="C53" s="37"/>
      <c r="D53" s="37"/>
      <c r="E53" s="38"/>
      <c r="F53" s="38"/>
      <c r="G53" s="37" t="s">
        <v>72</v>
      </c>
      <c r="H53" s="37" t="s">
        <v>72</v>
      </c>
      <c r="I53" s="37" t="s">
        <v>72</v>
      </c>
      <c r="J53" s="37" t="s">
        <v>72</v>
      </c>
      <c r="K53" s="37" t="s">
        <v>72</v>
      </c>
      <c r="L53" s="37" t="s">
        <v>72</v>
      </c>
      <c r="M53" s="37" t="s">
        <v>72</v>
      </c>
      <c r="N53" s="37" t="s">
        <v>72</v>
      </c>
      <c r="O53" s="37" t="s">
        <v>72</v>
      </c>
      <c r="P53" s="37" t="s">
        <v>72</v>
      </c>
      <c r="Q53" s="37" t="s">
        <v>72</v>
      </c>
      <c r="R53" s="37" t="s">
        <v>72</v>
      </c>
      <c r="S53" s="37" t="s">
        <v>73</v>
      </c>
      <c r="T53" s="37" t="s">
        <v>73</v>
      </c>
      <c r="U53" s="37" t="s">
        <v>73</v>
      </c>
      <c r="V53" s="37" t="s">
        <v>73</v>
      </c>
      <c r="W53" s="37" t="s">
        <v>74</v>
      </c>
      <c r="X53" s="37" t="s">
        <v>74</v>
      </c>
      <c r="Y53" s="37" t="s">
        <v>74</v>
      </c>
      <c r="Z53" s="37" t="s">
        <v>74</v>
      </c>
      <c r="AA53" s="37" t="s">
        <v>75</v>
      </c>
      <c r="AB53" s="37" t="s">
        <v>75</v>
      </c>
      <c r="AC53" s="37" t="s">
        <v>75</v>
      </c>
    </row>
    <row r="54" spans="1:29" s="39" customFormat="1" ht="15">
      <c r="A54" s="37"/>
      <c r="B54" s="37"/>
      <c r="C54" s="37"/>
      <c r="D54" s="37"/>
      <c r="E54" s="38"/>
      <c r="F54" s="38"/>
      <c r="G54" s="37" t="s">
        <v>76</v>
      </c>
      <c r="H54" s="37" t="s">
        <v>76</v>
      </c>
      <c r="I54" s="37" t="s">
        <v>77</v>
      </c>
      <c r="J54" s="37" t="s">
        <v>77</v>
      </c>
      <c r="K54" s="37" t="s">
        <v>78</v>
      </c>
      <c r="L54" s="37" t="s">
        <v>78</v>
      </c>
      <c r="M54" s="37" t="s">
        <v>79</v>
      </c>
      <c r="N54" s="37" t="s">
        <v>79</v>
      </c>
      <c r="O54" s="37" t="s">
        <v>80</v>
      </c>
      <c r="P54" s="37" t="s">
        <v>80</v>
      </c>
      <c r="Q54" s="37" t="s">
        <v>81</v>
      </c>
      <c r="R54" s="37" t="s">
        <v>81</v>
      </c>
      <c r="S54" s="37" t="s">
        <v>82</v>
      </c>
      <c r="T54" s="37" t="s">
        <v>82</v>
      </c>
      <c r="U54" s="37" t="s">
        <v>76</v>
      </c>
      <c r="V54" s="37" t="s">
        <v>76</v>
      </c>
      <c r="W54" s="37" t="s">
        <v>83</v>
      </c>
      <c r="X54" s="37" t="s">
        <v>83</v>
      </c>
      <c r="Y54" s="37" t="s">
        <v>84</v>
      </c>
      <c r="Z54" s="37" t="s">
        <v>84</v>
      </c>
      <c r="AA54" s="37" t="s">
        <v>85</v>
      </c>
      <c r="AB54" s="37" t="s">
        <v>86</v>
      </c>
      <c r="AC54" s="37" t="s">
        <v>87</v>
      </c>
    </row>
    <row r="55" spans="1:29" s="39" customFormat="1" ht="15">
      <c r="A55" s="37"/>
      <c r="B55" s="37"/>
      <c r="C55" s="37" t="s">
        <v>88</v>
      </c>
      <c r="D55" s="37"/>
      <c r="E55" s="38"/>
      <c r="F55" s="38"/>
      <c r="G55" s="37" t="s">
        <v>89</v>
      </c>
      <c r="H55" s="37" t="s">
        <v>90</v>
      </c>
      <c r="I55" s="37" t="s">
        <v>89</v>
      </c>
      <c r="J55" s="37" t="s">
        <v>90</v>
      </c>
      <c r="K55" s="37" t="s">
        <v>89</v>
      </c>
      <c r="L55" s="37" t="s">
        <v>90</v>
      </c>
      <c r="M55" s="37" t="s">
        <v>90</v>
      </c>
      <c r="N55" s="37" t="s">
        <v>89</v>
      </c>
      <c r="O55" s="37" t="s">
        <v>89</v>
      </c>
      <c r="P55" s="37" t="s">
        <v>90</v>
      </c>
      <c r="Q55" s="37" t="s">
        <v>89</v>
      </c>
      <c r="R55" s="37" t="s">
        <v>90</v>
      </c>
      <c r="S55" s="37" t="s">
        <v>89</v>
      </c>
      <c r="T55" s="37" t="s">
        <v>90</v>
      </c>
      <c r="U55" s="37" t="s">
        <v>89</v>
      </c>
      <c r="V55" s="37" t="s">
        <v>90</v>
      </c>
      <c r="W55" s="37" t="s">
        <v>89</v>
      </c>
      <c r="X55" s="37" t="s">
        <v>90</v>
      </c>
      <c r="Y55" s="37" t="s">
        <v>89</v>
      </c>
      <c r="Z55" s="37" t="s">
        <v>90</v>
      </c>
      <c r="AA55" s="37"/>
      <c r="AB55" s="37"/>
      <c r="AC55" s="37"/>
    </row>
    <row r="56" spans="1:29">
      <c r="A56" t="s">
        <v>91</v>
      </c>
      <c r="C56">
        <f>ROW()-ROW(A$56)+1</f>
        <v>1</v>
      </c>
      <c r="G56" t="str">
        <f>G53&amp;"_"&amp;G54&amp;IF(G55&lt;&gt;"","_"&amp;G55,"")</f>
        <v>SCGT _GT13E2 _DF</v>
      </c>
      <c r="H56" t="str">
        <f t="shared" ref="H56:AC56" si="0">H53&amp;"_"&amp;H54&amp;IF(H55&lt;&gt;"","_"&amp;H55,"")</f>
        <v>SCGT _GT13E2 _GasOnly</v>
      </c>
      <c r="I56" t="str">
        <f t="shared" si="0"/>
        <v>SCGT _SGT5-2000E _DF</v>
      </c>
      <c r="J56" t="str">
        <f t="shared" si="0"/>
        <v>SCGT _SGT5-2000E _GasOnly</v>
      </c>
      <c r="K56" t="str">
        <f t="shared" si="0"/>
        <v>SCGT _1x9FA _DF</v>
      </c>
      <c r="L56" t="str">
        <f t="shared" si="0"/>
        <v>SCGT _1x9FA _GasOnly</v>
      </c>
      <c r="M56" t="str">
        <f t="shared" si="0"/>
        <v>SCGT _LM2500 _GasOnly</v>
      </c>
      <c r="N56" t="str">
        <f t="shared" si="0"/>
        <v>SCGT _LM2500 _DF</v>
      </c>
      <c r="O56" t="str">
        <f t="shared" si="0"/>
        <v>SCGT _LM6000 _DF</v>
      </c>
      <c r="P56" t="str">
        <f t="shared" si="0"/>
        <v>SCGT _LM6000 _GasOnly</v>
      </c>
      <c r="Q56" t="str">
        <f t="shared" si="0"/>
        <v>SCGT _LMS100 _DF</v>
      </c>
      <c r="R56" t="str">
        <f t="shared" si="0"/>
        <v>SCGT _LMS100 _GasOnly</v>
      </c>
      <c r="S56" t="str">
        <f t="shared" si="0"/>
        <v>CCGT _9FA _DF</v>
      </c>
      <c r="T56" t="str">
        <f t="shared" si="0"/>
        <v>CCGT _9FA _GasOnly</v>
      </c>
      <c r="U56" t="str">
        <f t="shared" si="0"/>
        <v>CCGT _GT13E2 _DF</v>
      </c>
      <c r="V56" t="str">
        <f t="shared" si="0"/>
        <v>CCGT _GT13E2 _GasOnly</v>
      </c>
      <c r="W56" t="str">
        <f t="shared" si="0"/>
        <v>RECIP _Jenbacher _DF</v>
      </c>
      <c r="X56" t="str">
        <f t="shared" si="0"/>
        <v>RECIP _Jenbacher _GasOnly</v>
      </c>
      <c r="Y56" t="str">
        <f t="shared" si="0"/>
        <v>RECIP _Wartsila _DF</v>
      </c>
      <c r="Z56" t="str">
        <f t="shared" si="0"/>
        <v>RECIP _Wartsila _GasOnly</v>
      </c>
      <c r="AA56" t="str">
        <f t="shared" si="0"/>
        <v>BESS_6hr</v>
      </c>
      <c r="AB56" t="str">
        <f t="shared" si="0"/>
        <v>BESS_7hr</v>
      </c>
      <c r="AC56" t="str">
        <f t="shared" si="0"/>
        <v>BESS_8hr</v>
      </c>
    </row>
    <row r="57" spans="1:29">
      <c r="A57" t="s">
        <v>92</v>
      </c>
      <c r="C57">
        <f t="shared" ref="C57:C60" si="1">ROW()-ROW(A$56)+1</f>
        <v>2</v>
      </c>
      <c r="G57" s="134" t="s">
        <v>93</v>
      </c>
      <c r="H57" s="134" t="s">
        <v>93</v>
      </c>
      <c r="I57" s="134" t="s">
        <v>93</v>
      </c>
      <c r="J57" s="134" t="s">
        <v>93</v>
      </c>
      <c r="K57" s="134" t="s">
        <v>93</v>
      </c>
      <c r="L57" s="134" t="s">
        <v>93</v>
      </c>
      <c r="M57" s="134" t="s">
        <v>94</v>
      </c>
      <c r="N57" s="134" t="s">
        <v>94</v>
      </c>
      <c r="O57" s="134" t="s">
        <v>94</v>
      </c>
      <c r="P57" s="134" t="s">
        <v>94</v>
      </c>
      <c r="Q57" s="134" t="s">
        <v>94</v>
      </c>
      <c r="R57" s="134" t="s">
        <v>94</v>
      </c>
      <c r="S57" s="134" t="s">
        <v>93</v>
      </c>
      <c r="T57" s="134" t="s">
        <v>95</v>
      </c>
      <c r="U57" s="134" t="s">
        <v>95</v>
      </c>
      <c r="V57" s="134" t="s">
        <v>95</v>
      </c>
      <c r="W57" s="134" t="s">
        <v>96</v>
      </c>
      <c r="X57" s="134" t="s">
        <v>96</v>
      </c>
      <c r="Y57" s="134" t="s">
        <v>96</v>
      </c>
      <c r="Z57" s="134" t="s">
        <v>96</v>
      </c>
      <c r="AA57" s="134" t="s">
        <v>97</v>
      </c>
      <c r="AB57" s="134" t="s">
        <v>98</v>
      </c>
      <c r="AC57" s="134" t="s">
        <v>99</v>
      </c>
    </row>
    <row r="58" spans="1:29">
      <c r="C58">
        <f t="shared" si="1"/>
        <v>3</v>
      </c>
    </row>
    <row r="59" spans="1:29">
      <c r="C59">
        <f t="shared" si="1"/>
        <v>4</v>
      </c>
    </row>
    <row r="60" spans="1:29">
      <c r="A60" t="s">
        <v>100</v>
      </c>
      <c r="C60">
        <f t="shared" si="1"/>
        <v>5</v>
      </c>
    </row>
    <row r="61" spans="1:29">
      <c r="A61" t="s">
        <v>101</v>
      </c>
      <c r="C61">
        <f t="shared" ref="C61:C96" si="2">ROW()-ROW(A$56)+1</f>
        <v>6</v>
      </c>
      <c r="G61" s="137">
        <f>TFlow33!G26</f>
        <v>341.18865966796875</v>
      </c>
      <c r="H61" s="137">
        <f>TFlow33!H26</f>
        <v>341.18865966796875</v>
      </c>
      <c r="I61" s="137">
        <f>TFlow33!I26</f>
        <v>347.77304077148438</v>
      </c>
      <c r="J61" s="137">
        <f>TFlow33!J26</f>
        <v>347.77304077148438</v>
      </c>
      <c r="K61" s="137">
        <f>TFlow33!K26</f>
        <v>258.24078369140625</v>
      </c>
      <c r="L61" s="137">
        <f>TFlow33!L26</f>
        <v>258.30279541015625</v>
      </c>
      <c r="M61" s="137">
        <f>TFlow33!M26</f>
        <v>380.225830078125</v>
      </c>
      <c r="N61" s="137">
        <f>TFlow33!N26</f>
        <v>380.225830078125</v>
      </c>
      <c r="O61" s="137">
        <f>TFlow33!O26</f>
        <v>264.081298828125</v>
      </c>
      <c r="P61" s="137">
        <f>TFlow33!P26</f>
        <v>264.0863037109375</v>
      </c>
      <c r="Q61" s="137">
        <f>TFlow33!Q26</f>
        <v>356.21731567382813</v>
      </c>
      <c r="R61" s="137">
        <f>TFlow33!R26</f>
        <v>356.22232055664063</v>
      </c>
      <c r="S61" s="137">
        <f>TFlow33!S26</f>
        <v>389.51309204101563</v>
      </c>
      <c r="T61" s="137">
        <f>TFlow33!T26</f>
        <v>389.58108520507813</v>
      </c>
      <c r="U61" s="137">
        <f>TFlow33!U26</f>
        <v>489.26708984375</v>
      </c>
      <c r="V61" s="137">
        <f>TFlow33!V26</f>
        <v>489.2720947265625</v>
      </c>
      <c r="W61" s="137">
        <f>TFlow33!W26</f>
        <v>245.76321411132813</v>
      </c>
      <c r="X61" s="137">
        <f>TFlow33!X26</f>
        <v>245.76321411132813</v>
      </c>
      <c r="Y61" s="137">
        <f>TFlow33!Y26</f>
        <v>217.40798950195313</v>
      </c>
      <c r="Z61" s="137">
        <f>TFlow33!Z26</f>
        <v>217.40798950195313</v>
      </c>
      <c r="AA61" s="138">
        <f>BESS_MW</f>
        <v>200</v>
      </c>
      <c r="AB61" s="138">
        <f>BESS_MW</f>
        <v>200</v>
      </c>
      <c r="AC61" s="138">
        <f>BESS_MW</f>
        <v>200</v>
      </c>
    </row>
    <row r="62" spans="1:29">
      <c r="C62">
        <f t="shared" si="2"/>
        <v>7</v>
      </c>
    </row>
    <row r="63" spans="1:29">
      <c r="A63" t="s">
        <v>102</v>
      </c>
      <c r="C63">
        <f t="shared" si="2"/>
        <v>8</v>
      </c>
      <c r="G63">
        <f>TFlow33!G55/1000</f>
        <v>9.7710000000000008</v>
      </c>
      <c r="H63">
        <f>TFlow33!H55/1000</f>
        <v>9.7710000000000008</v>
      </c>
      <c r="I63">
        <f>TFlow33!I55/1000</f>
        <v>10.057</v>
      </c>
      <c r="J63">
        <f>TFlow33!J55/1000</f>
        <v>10.057</v>
      </c>
      <c r="K63">
        <f>TFlow33!K55/1000</f>
        <v>9.61</v>
      </c>
      <c r="L63">
        <f>TFlow33!L55/1000</f>
        <v>9.6080000000000005</v>
      </c>
      <c r="M63">
        <f>TFlow33!M55/1000</f>
        <v>9.3919999999999995</v>
      </c>
      <c r="N63">
        <f>TFlow33!N55/1000</f>
        <v>9.3919999999999995</v>
      </c>
      <c r="O63">
        <f>TFlow33!O55/1000</f>
        <v>8.98</v>
      </c>
      <c r="P63">
        <f>TFlow33!P55/1000</f>
        <v>8.98</v>
      </c>
      <c r="Q63">
        <f>TFlow33!Q55/1000</f>
        <v>8.7200000000000006</v>
      </c>
      <c r="R63">
        <f>TFlow33!R55/1000</f>
        <v>8.7200000000000006</v>
      </c>
      <c r="S63">
        <f>TFlow33!S55/1000</f>
        <v>6.319</v>
      </c>
      <c r="T63">
        <f>TFlow33!T55/1000</f>
        <v>6.3179999999999996</v>
      </c>
      <c r="U63">
        <f>TFlow33!U55/1000</f>
        <v>6.8179999999999996</v>
      </c>
      <c r="V63">
        <f>TFlow33!V55/1000</f>
        <v>6.8179999999999996</v>
      </c>
      <c r="W63">
        <f>TFlow33!W55/1000</f>
        <v>7.8360000000000003</v>
      </c>
      <c r="X63">
        <f>TFlow33!X55/1000</f>
        <v>7.8360000000000003</v>
      </c>
      <c r="Y63">
        <f>TFlow33!Y55/1000</f>
        <v>7.8680000000000003</v>
      </c>
      <c r="Z63">
        <f>TFlow33!Z55/1000</f>
        <v>7.8680000000000003</v>
      </c>
    </row>
    <row r="64" spans="1:29">
      <c r="A64" t="s">
        <v>103</v>
      </c>
      <c r="C64">
        <f t="shared" si="2"/>
        <v>9</v>
      </c>
      <c r="G64">
        <f>TFlow33!G56</f>
        <v>26.6</v>
      </c>
      <c r="H64">
        <f>TFlow33!H56</f>
        <v>26.6</v>
      </c>
      <c r="I64">
        <f>TFlow33!I56</f>
        <v>20.75</v>
      </c>
      <c r="J64">
        <f>TFlow33!J56</f>
        <v>20.75</v>
      </c>
      <c r="K64">
        <f>TFlow33!K56</f>
        <v>28.37</v>
      </c>
      <c r="L64">
        <f>TFlow33!L56</f>
        <v>28.37</v>
      </c>
      <c r="M64">
        <f>TFlow33!M56</f>
        <v>37.61</v>
      </c>
      <c r="N64">
        <f>TFlow33!N56</f>
        <v>37.61</v>
      </c>
      <c r="O64">
        <f>TFlow33!O56</f>
        <v>50.91</v>
      </c>
      <c r="P64">
        <f>TFlow33!P56</f>
        <v>50.91</v>
      </c>
      <c r="Q64">
        <f>TFlow33!Q56</f>
        <v>60.21</v>
      </c>
      <c r="R64">
        <f>TFlow33!R56</f>
        <v>60.21</v>
      </c>
      <c r="S64">
        <f>TFlow33!S56</f>
        <v>28.37</v>
      </c>
      <c r="T64">
        <f>TFlow33!T56</f>
        <v>28.37</v>
      </c>
      <c r="U64">
        <f>TFlow33!U56</f>
        <v>26.6</v>
      </c>
      <c r="V64">
        <f>TFlow33!V56</f>
        <v>26.6</v>
      </c>
      <c r="W64">
        <f>TFlow33!W56</f>
        <v>11.35</v>
      </c>
      <c r="X64">
        <f>TFlow33!X56</f>
        <v>11.35</v>
      </c>
      <c r="Y64">
        <f>TFlow33!Y56</f>
        <v>6.9930000000000003</v>
      </c>
      <c r="Z64">
        <f>TFlow33!Z56</f>
        <v>6.9930000000000003</v>
      </c>
    </row>
    <row r="65" spans="1:29">
      <c r="A65" t="s">
        <v>104</v>
      </c>
      <c r="C65">
        <f t="shared" si="2"/>
        <v>10</v>
      </c>
      <c r="G65" s="127">
        <f t="shared" ref="G65:Z65" si="3">G63*NG_HHVonLHV*G61</f>
        <v>3690.4661137326052</v>
      </c>
      <c r="H65" s="127">
        <f t="shared" si="3"/>
        <v>3690.4661137326052</v>
      </c>
      <c r="I65" s="127">
        <f t="shared" si="3"/>
        <v>3871.7916924399719</v>
      </c>
      <c r="J65" s="127">
        <f t="shared" si="3"/>
        <v>3871.7916924399719</v>
      </c>
      <c r="K65" s="127">
        <f t="shared" si="3"/>
        <v>2747.2351819207761</v>
      </c>
      <c r="L65" s="127">
        <f t="shared" si="3"/>
        <v>2747.3229969389649</v>
      </c>
      <c r="M65" s="127">
        <f t="shared" si="3"/>
        <v>3953.186662675781</v>
      </c>
      <c r="N65" s="127">
        <f t="shared" si="3"/>
        <v>3953.186662675781</v>
      </c>
      <c r="O65" s="127">
        <f t="shared" si="3"/>
        <v>2625.1952202685547</v>
      </c>
      <c r="P65" s="127">
        <f t="shared" si="3"/>
        <v>2625.2449731079105</v>
      </c>
      <c r="Q65" s="127">
        <f t="shared" si="3"/>
        <v>3438.5799968920901</v>
      </c>
      <c r="R65" s="127">
        <f t="shared" si="3"/>
        <v>3438.6283092260746</v>
      </c>
      <c r="S65" s="127">
        <f t="shared" si="3"/>
        <v>2724.6958840681459</v>
      </c>
      <c r="T65" s="127">
        <f t="shared" si="3"/>
        <v>2724.7402390325315</v>
      </c>
      <c r="U65" s="127">
        <f t="shared" si="3"/>
        <v>3692.7560815400388</v>
      </c>
      <c r="V65" s="127">
        <f t="shared" si="3"/>
        <v>3692.7938560231933</v>
      </c>
      <c r="W65" s="127">
        <f t="shared" si="3"/>
        <v>2131.8612041744386</v>
      </c>
      <c r="X65" s="127">
        <f t="shared" si="3"/>
        <v>2131.8612041744386</v>
      </c>
      <c r="Y65" s="127">
        <f t="shared" si="3"/>
        <v>1893.5966299713134</v>
      </c>
      <c r="Z65" s="127">
        <f t="shared" si="3"/>
        <v>1893.5966299713134</v>
      </c>
      <c r="AA65">
        <v>0</v>
      </c>
      <c r="AB65">
        <v>0</v>
      </c>
      <c r="AC65">
        <v>0</v>
      </c>
    </row>
    <row r="66" spans="1:29">
      <c r="C66">
        <f t="shared" si="2"/>
        <v>11</v>
      </c>
    </row>
    <row r="67" spans="1:29">
      <c r="A67" t="s">
        <v>105</v>
      </c>
      <c r="C67">
        <f t="shared" si="2"/>
        <v>12</v>
      </c>
      <c r="G67" s="142">
        <f t="shared" ref="G67:AC67" si="4">VLOOKUP(G$57, IASR_InstallationPercentTable,8,FALSE)</f>
        <v>0.29999999999999977</v>
      </c>
      <c r="H67" s="142">
        <f t="shared" si="4"/>
        <v>0.29999999999999977</v>
      </c>
      <c r="I67" s="142">
        <f t="shared" si="4"/>
        <v>0.29999999999999977</v>
      </c>
      <c r="J67" s="142">
        <f t="shared" si="4"/>
        <v>0.29999999999999977</v>
      </c>
      <c r="K67" s="142">
        <f t="shared" si="4"/>
        <v>0.29999999999999977</v>
      </c>
      <c r="L67" s="142">
        <f t="shared" si="4"/>
        <v>0.29999999999999977</v>
      </c>
      <c r="M67" s="142">
        <f t="shared" si="4"/>
        <v>0.30000000000000004</v>
      </c>
      <c r="N67" s="142">
        <f t="shared" si="4"/>
        <v>0.30000000000000004</v>
      </c>
      <c r="O67" s="142">
        <f t="shared" si="4"/>
        <v>0.30000000000000004</v>
      </c>
      <c r="P67" s="142">
        <f t="shared" si="4"/>
        <v>0.30000000000000004</v>
      </c>
      <c r="Q67" s="142">
        <f t="shared" si="4"/>
        <v>0.30000000000000004</v>
      </c>
      <c r="R67" s="142">
        <f t="shared" si="4"/>
        <v>0.30000000000000004</v>
      </c>
      <c r="S67" s="142">
        <f t="shared" si="4"/>
        <v>0.29999999999999977</v>
      </c>
      <c r="T67" s="142">
        <f t="shared" si="4"/>
        <v>0.29999999976068731</v>
      </c>
      <c r="U67" s="142">
        <f t="shared" si="4"/>
        <v>0.29999999976068731</v>
      </c>
      <c r="V67" s="142">
        <f t="shared" si="4"/>
        <v>0.29999999976068731</v>
      </c>
      <c r="W67" s="142">
        <f t="shared" si="4"/>
        <v>0.30000000000000004</v>
      </c>
      <c r="X67" s="142">
        <f t="shared" si="4"/>
        <v>0.30000000000000004</v>
      </c>
      <c r="Y67" s="142">
        <f t="shared" si="4"/>
        <v>0.30000000000000004</v>
      </c>
      <c r="Z67" s="142">
        <f t="shared" si="4"/>
        <v>0.30000000000000004</v>
      </c>
      <c r="AA67" s="142">
        <f t="shared" si="4"/>
        <v>0.17118743378767137</v>
      </c>
      <c r="AB67" s="142">
        <f t="shared" si="4"/>
        <v>0.17115967393197373</v>
      </c>
      <c r="AC67" s="142">
        <f t="shared" si="4"/>
        <v>0.1711320754716974</v>
      </c>
    </row>
    <row r="68" spans="1:29">
      <c r="A68" t="s">
        <v>106</v>
      </c>
      <c r="C68">
        <f t="shared" si="2"/>
        <v>13</v>
      </c>
      <c r="G68" s="142">
        <f t="shared" ref="G68:AC68" si="5">1*(1-G67)+G67*VLOOKUP(SiteLocation,Rawlinsons_RegionalCostFactorTable,3,FALSE)/100*(ProportionOfInstallation_Labour*Rawlinsons_PerthFactor_Labour+(1-ProportionOfInstallation_Labour)*Rawlinsons_PerthFactor_Other)</f>
        <v>1.0449212062256807</v>
      </c>
      <c r="H68" s="142">
        <f t="shared" si="5"/>
        <v>1.0449212062256807</v>
      </c>
      <c r="I68" s="142">
        <f t="shared" si="5"/>
        <v>1.0449212062256807</v>
      </c>
      <c r="J68" s="142">
        <f t="shared" si="5"/>
        <v>1.0449212062256807</v>
      </c>
      <c r="K68" s="142">
        <f t="shared" si="5"/>
        <v>1.0449212062256807</v>
      </c>
      <c r="L68" s="142">
        <f t="shared" si="5"/>
        <v>1.0449212062256807</v>
      </c>
      <c r="M68" s="142">
        <f t="shared" si="5"/>
        <v>1.044921206225681</v>
      </c>
      <c r="N68" s="142">
        <f t="shared" si="5"/>
        <v>1.044921206225681</v>
      </c>
      <c r="O68" s="142">
        <f t="shared" si="5"/>
        <v>1.044921206225681</v>
      </c>
      <c r="P68" s="142">
        <f t="shared" si="5"/>
        <v>1.044921206225681</v>
      </c>
      <c r="Q68" s="142">
        <f t="shared" si="5"/>
        <v>1.044921206225681</v>
      </c>
      <c r="R68" s="142">
        <f t="shared" si="5"/>
        <v>1.044921206225681</v>
      </c>
      <c r="S68" s="142">
        <f t="shared" si="5"/>
        <v>1.0449212062256807</v>
      </c>
      <c r="T68" s="142">
        <f t="shared" si="5"/>
        <v>1.044921206189847</v>
      </c>
      <c r="U68" s="142">
        <f t="shared" si="5"/>
        <v>1.044921206189847</v>
      </c>
      <c r="V68" s="142">
        <f t="shared" si="5"/>
        <v>1.044921206189847</v>
      </c>
      <c r="W68" s="142">
        <f t="shared" si="5"/>
        <v>1.044921206225681</v>
      </c>
      <c r="X68" s="142">
        <f t="shared" si="5"/>
        <v>1.044921206225681</v>
      </c>
      <c r="Y68" s="142">
        <f t="shared" si="5"/>
        <v>1.044921206225681</v>
      </c>
      <c r="Z68" s="142">
        <f t="shared" si="5"/>
        <v>1.044921206225681</v>
      </c>
      <c r="AA68" s="142">
        <f t="shared" si="5"/>
        <v>1.0256331533880703</v>
      </c>
      <c r="AB68" s="142">
        <f t="shared" si="5"/>
        <v>1.0256289967007284</v>
      </c>
      <c r="AC68" s="142">
        <f t="shared" si="5"/>
        <v>1.0256248641803096</v>
      </c>
    </row>
    <row r="69" spans="1:29">
      <c r="C69">
        <f t="shared" si="2"/>
        <v>14</v>
      </c>
    </row>
    <row r="70" spans="1:29">
      <c r="A70" t="s">
        <v>107</v>
      </c>
      <c r="C70">
        <f t="shared" si="2"/>
        <v>15</v>
      </c>
      <c r="G70" s="134">
        <v>2</v>
      </c>
      <c r="H70" s="134">
        <v>2</v>
      </c>
      <c r="I70" s="134">
        <v>2</v>
      </c>
      <c r="J70" s="134">
        <v>2</v>
      </c>
      <c r="K70" s="134">
        <v>1</v>
      </c>
      <c r="L70" s="134">
        <v>1</v>
      </c>
      <c r="M70" s="134">
        <v>2</v>
      </c>
      <c r="N70" s="134">
        <v>2</v>
      </c>
      <c r="O70" s="134">
        <v>1</v>
      </c>
      <c r="P70" s="134">
        <v>1</v>
      </c>
      <c r="Q70" s="134">
        <v>2</v>
      </c>
      <c r="R70" s="134">
        <v>2</v>
      </c>
      <c r="S70" s="134">
        <v>1</v>
      </c>
      <c r="T70" s="134">
        <v>1</v>
      </c>
      <c r="U70" s="134">
        <v>2</v>
      </c>
      <c r="V70" s="134">
        <v>2</v>
      </c>
      <c r="W70" s="134">
        <v>1</v>
      </c>
      <c r="X70" s="134">
        <v>1</v>
      </c>
      <c r="Y70" s="134">
        <v>1</v>
      </c>
      <c r="Z70" s="134">
        <v>1</v>
      </c>
      <c r="AA70" s="134">
        <v>1</v>
      </c>
      <c r="AB70" s="134">
        <v>1</v>
      </c>
      <c r="AC70" s="134">
        <v>1</v>
      </c>
    </row>
    <row r="71" spans="1:29">
      <c r="A71" t="s">
        <v>108</v>
      </c>
      <c r="B71" t="s">
        <v>109</v>
      </c>
      <c r="C71">
        <f t="shared" si="2"/>
        <v>16</v>
      </c>
      <c r="G71" s="157">
        <f>TFlow33!G63</f>
        <v>2.69</v>
      </c>
      <c r="H71" s="157">
        <f>TFlow33!H63</f>
        <v>2.278</v>
      </c>
      <c r="I71" s="157">
        <f>TFlow33!I63</f>
        <v>2.6040000000000001</v>
      </c>
      <c r="J71" s="157">
        <f>TFlow33!J63</f>
        <v>2.2010000000000001</v>
      </c>
      <c r="K71" s="157">
        <f>TFlow33!K63</f>
        <v>2.4460000000000002</v>
      </c>
      <c r="L71" s="157">
        <f>TFlow33!L63</f>
        <v>1.8149999999999999</v>
      </c>
      <c r="M71" s="157">
        <f>TFlow33!M63</f>
        <v>3.8490000000000002</v>
      </c>
      <c r="N71" s="157">
        <f>TFlow33!N63</f>
        <v>4.5679999999999996</v>
      </c>
      <c r="O71" s="157">
        <f>TFlow33!O63</f>
        <v>3.2330000000000001</v>
      </c>
      <c r="P71" s="157">
        <f>TFlow33!P63</f>
        <v>2.7509999999999999</v>
      </c>
      <c r="Q71" s="157">
        <f>TFlow33!Q63</f>
        <v>5.7</v>
      </c>
      <c r="R71" s="157">
        <f>TFlow33!R63</f>
        <v>4.8259999999999996</v>
      </c>
      <c r="S71" s="157">
        <f>TFlow33!S63</f>
        <v>3.96</v>
      </c>
      <c r="T71" s="157">
        <f>TFlow33!T63</f>
        <v>3.0840000000000001</v>
      </c>
      <c r="U71" s="157">
        <f>TFlow33!U63</f>
        <v>4.1100000000000003</v>
      </c>
      <c r="V71" s="157">
        <f>TFlow33!V63</f>
        <v>3.6429999999999998</v>
      </c>
      <c r="W71" s="157">
        <f>TFlow33!W63</f>
        <v>3.0680000000000001</v>
      </c>
      <c r="X71" s="157">
        <f>TFlow33!X63</f>
        <v>2.4500000000000002</v>
      </c>
      <c r="Y71" s="157">
        <f>TFlow33!Y63</f>
        <v>2.5169999999999999</v>
      </c>
      <c r="Z71" s="157">
        <f>TFlow33!Z63</f>
        <v>2.0499999999999998</v>
      </c>
      <c r="AA71" s="157">
        <f>AC71*6/8</f>
        <v>10.350000000000001</v>
      </c>
      <c r="AB71" s="157">
        <f>AC71*7/8</f>
        <v>12.075000000000001</v>
      </c>
      <c r="AC71" s="157">
        <v>13.8</v>
      </c>
    </row>
    <row r="72" spans="1:29">
      <c r="C72">
        <f t="shared" si="2"/>
        <v>17</v>
      </c>
    </row>
    <row r="73" spans="1:29">
      <c r="A73" t="s">
        <v>110</v>
      </c>
      <c r="B73" t="s">
        <v>24</v>
      </c>
      <c r="C73">
        <f t="shared" si="2"/>
        <v>18</v>
      </c>
      <c r="G73" s="174">
        <f t="shared" ref="G73:AC73" si="6">VLOOKUP(G$70,ElectricalCOnnectonsCostTable,2,FALSE)/1000000</f>
        <v>41.500202000000002</v>
      </c>
      <c r="H73" s="174">
        <f t="shared" si="6"/>
        <v>41.500202000000002</v>
      </c>
      <c r="I73" s="174">
        <f t="shared" si="6"/>
        <v>41.500202000000002</v>
      </c>
      <c r="J73" s="174">
        <f t="shared" si="6"/>
        <v>41.500202000000002</v>
      </c>
      <c r="K73" s="174">
        <f t="shared" si="6"/>
        <v>26.550101000000002</v>
      </c>
      <c r="L73" s="174">
        <f t="shared" si="6"/>
        <v>26.550101000000002</v>
      </c>
      <c r="M73" s="174">
        <f t="shared" si="6"/>
        <v>41.500202000000002</v>
      </c>
      <c r="N73" s="174">
        <f t="shared" si="6"/>
        <v>41.500202000000002</v>
      </c>
      <c r="O73" s="174">
        <f t="shared" si="6"/>
        <v>26.550101000000002</v>
      </c>
      <c r="P73" s="174">
        <f t="shared" si="6"/>
        <v>26.550101000000002</v>
      </c>
      <c r="Q73" s="174">
        <f t="shared" si="6"/>
        <v>41.500202000000002</v>
      </c>
      <c r="R73" s="174">
        <f t="shared" si="6"/>
        <v>41.500202000000002</v>
      </c>
      <c r="S73" s="174">
        <f t="shared" si="6"/>
        <v>26.550101000000002</v>
      </c>
      <c r="T73" s="174">
        <f t="shared" si="6"/>
        <v>26.550101000000002</v>
      </c>
      <c r="U73" s="174">
        <f t="shared" si="6"/>
        <v>41.500202000000002</v>
      </c>
      <c r="V73" s="174">
        <f t="shared" si="6"/>
        <v>41.500202000000002</v>
      </c>
      <c r="W73" s="174">
        <f t="shared" si="6"/>
        <v>26.550101000000002</v>
      </c>
      <c r="X73" s="174">
        <f t="shared" si="6"/>
        <v>26.550101000000002</v>
      </c>
      <c r="Y73" s="174">
        <f t="shared" si="6"/>
        <v>26.550101000000002</v>
      </c>
      <c r="Z73" s="174">
        <f t="shared" si="6"/>
        <v>26.550101000000002</v>
      </c>
      <c r="AA73" s="174">
        <f t="shared" si="6"/>
        <v>26.550101000000002</v>
      </c>
      <c r="AB73" s="174">
        <f t="shared" si="6"/>
        <v>26.550101000000002</v>
      </c>
      <c r="AC73" s="174">
        <f t="shared" si="6"/>
        <v>26.550101000000002</v>
      </c>
    </row>
    <row r="74" spans="1:29">
      <c r="A74" t="s">
        <v>111</v>
      </c>
      <c r="B74" t="s">
        <v>24</v>
      </c>
      <c r="C74">
        <f t="shared" si="2"/>
        <v>19</v>
      </c>
      <c r="G74" s="174">
        <f t="shared" ref="G74:Z74" si="7">VLOOKUP(G56,GasConn_Table,GasConn_CapexColumn,FALSE)</f>
        <v>28.793693600248936</v>
      </c>
      <c r="H74" s="174">
        <f t="shared" si="7"/>
        <v>102.6323425115269</v>
      </c>
      <c r="I74" s="174">
        <f t="shared" si="7"/>
        <v>28.793693600248936</v>
      </c>
      <c r="J74" s="174">
        <f t="shared" si="7"/>
        <v>95.580708577655344</v>
      </c>
      <c r="K74" s="174">
        <f t="shared" si="7"/>
        <v>22.095270200186704</v>
      </c>
      <c r="L74" s="174">
        <f t="shared" si="7"/>
        <v>78.717349883483138</v>
      </c>
      <c r="M74" s="174">
        <f t="shared" si="7"/>
        <v>118.16089532414658</v>
      </c>
      <c r="N74" s="174">
        <f t="shared" si="7"/>
        <v>28.793693600248936</v>
      </c>
      <c r="O74" s="174">
        <f t="shared" si="7"/>
        <v>22.095270200186704</v>
      </c>
      <c r="P74" s="174">
        <f t="shared" si="7"/>
        <v>87.209594816837367</v>
      </c>
      <c r="Q74" s="174">
        <f t="shared" si="7"/>
        <v>25.44448190021782</v>
      </c>
      <c r="R74" s="174">
        <f t="shared" si="7"/>
        <v>136.96431661438527</v>
      </c>
      <c r="S74" s="174">
        <f t="shared" si="7"/>
        <v>22.095270200186704</v>
      </c>
      <c r="T74" s="174">
        <f t="shared" si="7"/>
        <v>78.604323692399788</v>
      </c>
      <c r="U74" s="174">
        <f t="shared" si="7"/>
        <v>28.793693600248936</v>
      </c>
      <c r="V74" s="174">
        <f t="shared" si="7"/>
        <v>102.69412465324605</v>
      </c>
      <c r="W74" s="174">
        <f t="shared" si="7"/>
        <v>18.746058500155584</v>
      </c>
      <c r="X74" s="174">
        <f t="shared" si="7"/>
        <v>75.636977571043786</v>
      </c>
      <c r="Y74" s="174">
        <f t="shared" si="7"/>
        <v>18.746058500155584</v>
      </c>
      <c r="Z74" s="174">
        <f t="shared" si="7"/>
        <v>74.444468781645611</v>
      </c>
      <c r="AA74" s="174">
        <v>0</v>
      </c>
      <c r="AB74" s="174">
        <v>0</v>
      </c>
      <c r="AC74" s="174">
        <v>0</v>
      </c>
    </row>
    <row r="75" spans="1:29">
      <c r="A75" t="s">
        <v>112</v>
      </c>
      <c r="B75" t="s">
        <v>24</v>
      </c>
      <c r="C75">
        <f t="shared" si="2"/>
        <v>20</v>
      </c>
      <c r="G75" s="134">
        <v>0</v>
      </c>
      <c r="H75" s="134">
        <v>0</v>
      </c>
      <c r="I75" s="134">
        <v>0</v>
      </c>
      <c r="J75" s="134">
        <v>0</v>
      </c>
      <c r="K75" s="134">
        <v>0</v>
      </c>
      <c r="L75" s="134">
        <v>0</v>
      </c>
      <c r="M75" s="134">
        <v>0</v>
      </c>
      <c r="N75" s="134">
        <v>0</v>
      </c>
      <c r="O75" s="134">
        <v>0</v>
      </c>
      <c r="P75" s="134">
        <v>0</v>
      </c>
      <c r="Q75" s="134">
        <v>0</v>
      </c>
      <c r="R75" s="134">
        <v>0</v>
      </c>
      <c r="S75" s="134">
        <v>0</v>
      </c>
      <c r="T75" s="134">
        <v>0</v>
      </c>
      <c r="U75" s="134">
        <v>0</v>
      </c>
      <c r="V75" s="134">
        <v>0</v>
      </c>
      <c r="W75" s="134">
        <v>0</v>
      </c>
      <c r="X75" s="134">
        <v>0</v>
      </c>
      <c r="Y75" s="134">
        <v>0</v>
      </c>
      <c r="Z75" s="134">
        <v>0</v>
      </c>
      <c r="AA75" s="134">
        <v>0</v>
      </c>
      <c r="AB75" s="134">
        <v>0</v>
      </c>
      <c r="AC75" s="134">
        <v>0</v>
      </c>
    </row>
    <row r="76" spans="1:29">
      <c r="C76">
        <f t="shared" si="2"/>
        <v>21</v>
      </c>
    </row>
    <row r="77" spans="1:29">
      <c r="A77" t="s">
        <v>113</v>
      </c>
      <c r="B77" t="s">
        <v>114</v>
      </c>
      <c r="C77">
        <f t="shared" si="2"/>
        <v>22</v>
      </c>
      <c r="G77" s="127">
        <f t="shared" ref="G77:AC77" si="8">_xlfn.IFNA(VLOOKUP(G56,GasConn_Table,GasConn_MDQColumn,FALSE),0)</f>
        <v>0</v>
      </c>
      <c r="H77" s="127">
        <f t="shared" si="8"/>
        <v>51666.525592256461</v>
      </c>
      <c r="I77" s="127">
        <f t="shared" si="8"/>
        <v>0</v>
      </c>
      <c r="J77" s="127">
        <f t="shared" si="8"/>
        <v>54205.083694159614</v>
      </c>
      <c r="K77" s="127">
        <f t="shared" si="8"/>
        <v>0</v>
      </c>
      <c r="L77" s="127">
        <f t="shared" si="8"/>
        <v>38462.521957145516</v>
      </c>
      <c r="M77" s="127">
        <f t="shared" si="8"/>
        <v>55344.613277460929</v>
      </c>
      <c r="N77" s="127">
        <f t="shared" si="8"/>
        <v>0</v>
      </c>
      <c r="O77" s="127">
        <f t="shared" si="8"/>
        <v>0</v>
      </c>
      <c r="P77" s="127">
        <f t="shared" si="8"/>
        <v>36753.429623510739</v>
      </c>
      <c r="Q77" s="127">
        <f t="shared" si="8"/>
        <v>0</v>
      </c>
      <c r="R77" s="127">
        <f t="shared" si="8"/>
        <v>48140.79632916503</v>
      </c>
      <c r="S77" s="127">
        <f t="shared" si="8"/>
        <v>0</v>
      </c>
      <c r="T77" s="127">
        <f t="shared" si="8"/>
        <v>38146.363346455437</v>
      </c>
      <c r="U77" s="127">
        <f t="shared" si="8"/>
        <v>0</v>
      </c>
      <c r="V77" s="127">
        <f t="shared" si="8"/>
        <v>51699.113984324707</v>
      </c>
      <c r="W77" s="127">
        <f t="shared" si="8"/>
        <v>0</v>
      </c>
      <c r="X77" s="127">
        <f t="shared" si="8"/>
        <v>29846.056858442142</v>
      </c>
      <c r="Y77" s="127">
        <f t="shared" si="8"/>
        <v>0</v>
      </c>
      <c r="Z77" s="127">
        <f t="shared" si="8"/>
        <v>26510.352819598393</v>
      </c>
      <c r="AA77" s="127">
        <f t="shared" si="8"/>
        <v>0</v>
      </c>
      <c r="AB77" s="127">
        <f t="shared" si="8"/>
        <v>0</v>
      </c>
      <c r="AC77" s="127">
        <f t="shared" si="8"/>
        <v>0</v>
      </c>
    </row>
    <row r="78" spans="1:29">
      <c r="A78" t="s">
        <v>115</v>
      </c>
      <c r="B78" t="s">
        <v>116</v>
      </c>
      <c r="C78">
        <f t="shared" si="2"/>
        <v>23</v>
      </c>
      <c r="G78" s="133">
        <f t="shared" ref="G78:AC78" si="9">Gas_DBNGPTariff_DollarsPerGJPerDay*G77*365.25/1000000</f>
        <v>0</v>
      </c>
      <c r="H78" s="133">
        <f t="shared" si="9"/>
        <v>34.323464175470583</v>
      </c>
      <c r="I78" s="133">
        <f t="shared" si="9"/>
        <v>0</v>
      </c>
      <c r="J78" s="133">
        <f t="shared" si="9"/>
        <v>36.009896678318867</v>
      </c>
      <c r="K78" s="133">
        <f t="shared" si="9"/>
        <v>0</v>
      </c>
      <c r="L78" s="133">
        <f t="shared" si="9"/>
        <v>25.551689016460504</v>
      </c>
      <c r="M78" s="133">
        <f t="shared" si="9"/>
        <v>36.76691686461902</v>
      </c>
      <c r="N78" s="133">
        <f t="shared" si="9"/>
        <v>0</v>
      </c>
      <c r="O78" s="133">
        <f t="shared" si="9"/>
        <v>0</v>
      </c>
      <c r="P78" s="133">
        <f t="shared" si="9"/>
        <v>24.416292958497653</v>
      </c>
      <c r="Q78" s="133">
        <f t="shared" si="9"/>
        <v>0</v>
      </c>
      <c r="R78" s="133">
        <f t="shared" si="9"/>
        <v>31.981227288687087</v>
      </c>
      <c r="S78" s="133">
        <f t="shared" si="9"/>
        <v>0</v>
      </c>
      <c r="T78" s="133">
        <f t="shared" si="9"/>
        <v>25.341656338176175</v>
      </c>
      <c r="U78" s="133">
        <f t="shared" si="9"/>
        <v>0</v>
      </c>
      <c r="V78" s="133">
        <f t="shared" si="9"/>
        <v>34.345113521829155</v>
      </c>
      <c r="W78" s="133">
        <f t="shared" si="9"/>
        <v>0</v>
      </c>
      <c r="X78" s="133">
        <f t="shared" si="9"/>
        <v>19.827539235836142</v>
      </c>
      <c r="Y78" s="133">
        <f t="shared" si="9"/>
        <v>0</v>
      </c>
      <c r="Z78" s="133">
        <f t="shared" si="9"/>
        <v>17.611541222329588</v>
      </c>
      <c r="AA78" s="133">
        <f t="shared" si="9"/>
        <v>0</v>
      </c>
      <c r="AB78" s="133">
        <f t="shared" si="9"/>
        <v>0</v>
      </c>
      <c r="AC78" s="133">
        <f t="shared" si="9"/>
        <v>0</v>
      </c>
    </row>
    <row r="79" spans="1:29">
      <c r="C79">
        <f t="shared" si="2"/>
        <v>24</v>
      </c>
    </row>
    <row r="80" spans="1:29">
      <c r="A80" t="s">
        <v>117</v>
      </c>
      <c r="C80">
        <f t="shared" si="2"/>
        <v>25</v>
      </c>
      <c r="G80" s="134">
        <v>1</v>
      </c>
      <c r="H80" s="134">
        <v>1</v>
      </c>
      <c r="I80" s="134">
        <v>1</v>
      </c>
      <c r="J80" s="134">
        <v>1</v>
      </c>
      <c r="K80" s="134">
        <v>1</v>
      </c>
      <c r="L80" s="134">
        <v>1</v>
      </c>
      <c r="M80" s="134">
        <v>1</v>
      </c>
      <c r="N80" s="134">
        <v>1</v>
      </c>
      <c r="O80" s="134">
        <v>1</v>
      </c>
      <c r="P80" s="134">
        <v>1</v>
      </c>
      <c r="Q80" s="134">
        <v>1</v>
      </c>
      <c r="R80" s="134">
        <v>1</v>
      </c>
      <c r="S80" s="134">
        <v>0</v>
      </c>
      <c r="T80" s="134">
        <v>0</v>
      </c>
      <c r="U80" s="134">
        <v>1</v>
      </c>
      <c r="V80" s="134">
        <v>1</v>
      </c>
      <c r="W80" s="134">
        <v>1</v>
      </c>
      <c r="X80" s="134">
        <v>1</v>
      </c>
      <c r="Y80" s="134">
        <v>1</v>
      </c>
      <c r="Z80" s="134">
        <v>1</v>
      </c>
      <c r="AA80" s="150">
        <f>6/7</f>
        <v>0.8571428571428571</v>
      </c>
      <c r="AB80" s="134">
        <v>1</v>
      </c>
      <c r="AC80" s="134">
        <v>1</v>
      </c>
    </row>
    <row r="81" spans="1:29">
      <c r="A81" t="s">
        <v>118</v>
      </c>
      <c r="C81">
        <f t="shared" si="2"/>
        <v>26</v>
      </c>
      <c r="G81" s="134">
        <v>1</v>
      </c>
      <c r="H81" s="134">
        <v>1</v>
      </c>
      <c r="I81" s="134">
        <v>1</v>
      </c>
      <c r="J81" s="134">
        <v>1</v>
      </c>
      <c r="K81" s="134">
        <v>1</v>
      </c>
      <c r="L81" s="134">
        <v>1</v>
      </c>
      <c r="M81" s="134">
        <v>1</v>
      </c>
      <c r="N81" s="134">
        <v>1</v>
      </c>
      <c r="O81" s="134">
        <v>1</v>
      </c>
      <c r="P81" s="134">
        <v>1</v>
      </c>
      <c r="Q81" s="134">
        <v>1</v>
      </c>
      <c r="R81" s="134">
        <v>1</v>
      </c>
      <c r="S81" s="134">
        <v>0</v>
      </c>
      <c r="T81" s="134">
        <v>0</v>
      </c>
      <c r="U81" s="150">
        <f>2/3</f>
        <v>0.66666666666666663</v>
      </c>
      <c r="V81" s="150">
        <f>2/3</f>
        <v>0.66666666666666663</v>
      </c>
      <c r="W81" s="134">
        <v>1</v>
      </c>
      <c r="X81" s="134">
        <v>1</v>
      </c>
      <c r="Y81" s="134">
        <v>1</v>
      </c>
      <c r="Z81" s="134">
        <v>1</v>
      </c>
      <c r="AA81" s="150">
        <f>6/7</f>
        <v>0.8571428571428571</v>
      </c>
      <c r="AB81" s="134">
        <v>1</v>
      </c>
      <c r="AC81" s="134">
        <v>1</v>
      </c>
    </row>
    <row r="82" spans="1:29">
      <c r="C82">
        <f t="shared" si="2"/>
        <v>27</v>
      </c>
    </row>
    <row r="83" spans="1:29">
      <c r="A83" t="s">
        <v>119</v>
      </c>
      <c r="C83">
        <f t="shared" si="2"/>
        <v>28</v>
      </c>
    </row>
    <row r="84" spans="1:29">
      <c r="A84" s="149" t="s">
        <v>44</v>
      </c>
      <c r="B84" t="s">
        <v>24</v>
      </c>
      <c r="C84">
        <f t="shared" si="2"/>
        <v>29</v>
      </c>
      <c r="G84" s="123">
        <f t="shared" ref="G84:AC84" si="10">TUOS_centsPerkWperDay/100*G$61*365.25/1000</f>
        <v>2.6755733210517882</v>
      </c>
      <c r="H84" s="123">
        <f t="shared" si="10"/>
        <v>2.6755733210517882</v>
      </c>
      <c r="I84" s="123">
        <f t="shared" si="10"/>
        <v>2.7272074944541167</v>
      </c>
      <c r="J84" s="123">
        <f t="shared" si="10"/>
        <v>2.7272074944541167</v>
      </c>
      <c r="K84" s="123">
        <f t="shared" si="10"/>
        <v>2.0251029208433531</v>
      </c>
      <c r="L84" s="123">
        <f t="shared" si="10"/>
        <v>2.0255892116258241</v>
      </c>
      <c r="M84" s="123">
        <f t="shared" si="10"/>
        <v>2.981699590841675</v>
      </c>
      <c r="N84" s="123">
        <f t="shared" si="10"/>
        <v>2.981699590841675</v>
      </c>
      <c r="O84" s="123">
        <f t="shared" si="10"/>
        <v>2.070903758703003</v>
      </c>
      <c r="P84" s="123">
        <f t="shared" si="10"/>
        <v>2.0709430065811159</v>
      </c>
      <c r="Q84" s="123">
        <f t="shared" si="10"/>
        <v>2.7934268015856167</v>
      </c>
      <c r="R84" s="123">
        <f t="shared" si="10"/>
        <v>2.7934660494637296</v>
      </c>
      <c r="S84" s="123">
        <f t="shared" si="10"/>
        <v>3.0545295329555513</v>
      </c>
      <c r="T84" s="123">
        <f t="shared" si="10"/>
        <v>3.055062729738693</v>
      </c>
      <c r="U84" s="123">
        <f t="shared" si="10"/>
        <v>3.8367921540197751</v>
      </c>
      <c r="V84" s="123">
        <f t="shared" si="10"/>
        <v>3.836831401897888</v>
      </c>
      <c r="W84" s="123">
        <f t="shared" si="10"/>
        <v>1.9272548495958708</v>
      </c>
      <c r="X84" s="123">
        <f t="shared" si="10"/>
        <v>1.9272548495958708</v>
      </c>
      <c r="Y84" s="123">
        <f t="shared" si="10"/>
        <v>1.7048955175151825</v>
      </c>
      <c r="Z84" s="123">
        <f t="shared" si="10"/>
        <v>1.7048955175151825</v>
      </c>
      <c r="AA84" s="123">
        <f t="shared" si="10"/>
        <v>1.5683834999999999</v>
      </c>
      <c r="AB84" s="123">
        <f t="shared" si="10"/>
        <v>1.5683834999999999</v>
      </c>
      <c r="AC84" s="123">
        <f t="shared" si="10"/>
        <v>1.5683834999999999</v>
      </c>
    </row>
    <row r="85" spans="1:29">
      <c r="A85" s="149" t="s">
        <v>46</v>
      </c>
      <c r="B85" t="s">
        <v>24</v>
      </c>
      <c r="C85">
        <f t="shared" si="2"/>
        <v>30</v>
      </c>
      <c r="G85" s="123">
        <f t="shared" ref="G85:AC85" si="11">TUOS_ControlSystemServei_centsPerkWPerDay/100*G$61*365.25/1000</f>
        <v>0.38008843172836299</v>
      </c>
      <c r="H85" s="123">
        <f t="shared" si="11"/>
        <v>0.38008843172836299</v>
      </c>
      <c r="I85" s="123">
        <f t="shared" si="11"/>
        <v>0.38742351458244323</v>
      </c>
      <c r="J85" s="123">
        <f t="shared" si="11"/>
        <v>0.38742351458244323</v>
      </c>
      <c r="K85" s="123">
        <f t="shared" si="11"/>
        <v>0.28768346104202264</v>
      </c>
      <c r="L85" s="123">
        <f t="shared" si="11"/>
        <v>0.2877525428718567</v>
      </c>
      <c r="M85" s="123">
        <f t="shared" si="11"/>
        <v>0.42357632752990715</v>
      </c>
      <c r="N85" s="123">
        <f t="shared" si="11"/>
        <v>0.42357632752990715</v>
      </c>
      <c r="O85" s="123">
        <f t="shared" si="11"/>
        <v>0.29418986791076662</v>
      </c>
      <c r="P85" s="123">
        <f t="shared" si="11"/>
        <v>0.2941954434127807</v>
      </c>
      <c r="Q85" s="123">
        <f t="shared" si="11"/>
        <v>0.39683054237709042</v>
      </c>
      <c r="R85" s="123">
        <f t="shared" si="11"/>
        <v>0.39683611787910456</v>
      </c>
      <c r="S85" s="123">
        <f t="shared" si="11"/>
        <v>0.43392245344734187</v>
      </c>
      <c r="T85" s="123">
        <f t="shared" si="11"/>
        <v>0.43399819868202205</v>
      </c>
      <c r="U85" s="123">
        <f t="shared" si="11"/>
        <v>0.54504965392456051</v>
      </c>
      <c r="V85" s="123">
        <f t="shared" si="11"/>
        <v>0.54505522942657469</v>
      </c>
      <c r="W85" s="123">
        <f t="shared" si="11"/>
        <v>0.2737832925601959</v>
      </c>
      <c r="X85" s="123">
        <f t="shared" si="11"/>
        <v>0.2737832925601959</v>
      </c>
      <c r="Y85" s="123">
        <f t="shared" si="11"/>
        <v>0.24219521790504456</v>
      </c>
      <c r="Z85" s="123">
        <f t="shared" si="11"/>
        <v>0.24219521790504456</v>
      </c>
      <c r="AA85" s="123">
        <f t="shared" si="11"/>
        <v>0.22280250000000001</v>
      </c>
      <c r="AB85" s="123">
        <f t="shared" si="11"/>
        <v>0.22280250000000001</v>
      </c>
      <c r="AC85" s="123">
        <f t="shared" si="11"/>
        <v>0.22280250000000001</v>
      </c>
    </row>
    <row r="86" spans="1:29">
      <c r="A86" s="149" t="s">
        <v>47</v>
      </c>
      <c r="B86" t="s">
        <v>24</v>
      </c>
      <c r="C86">
        <f t="shared" si="2"/>
        <v>31</v>
      </c>
      <c r="G86" s="188">
        <f t="shared" ref="G86:AC86" si="12">TUOS_Metering_centsPerMeterPerDay/100*$G70*365.25/1000000</f>
        <v>8.8535065950000012E-3</v>
      </c>
      <c r="H86" s="188">
        <f t="shared" si="12"/>
        <v>8.8535065950000012E-3</v>
      </c>
      <c r="I86" s="188">
        <f t="shared" si="12"/>
        <v>8.8535065950000012E-3</v>
      </c>
      <c r="J86" s="188">
        <f t="shared" si="12"/>
        <v>8.8535065950000012E-3</v>
      </c>
      <c r="K86" s="188">
        <f t="shared" si="12"/>
        <v>8.8535065950000012E-3</v>
      </c>
      <c r="L86" s="188">
        <f t="shared" si="12"/>
        <v>8.8535065950000012E-3</v>
      </c>
      <c r="M86" s="188">
        <f t="shared" si="12"/>
        <v>8.8535065950000012E-3</v>
      </c>
      <c r="N86" s="188">
        <f t="shared" si="12"/>
        <v>8.8535065950000012E-3</v>
      </c>
      <c r="O86" s="188">
        <f t="shared" si="12"/>
        <v>8.8535065950000012E-3</v>
      </c>
      <c r="P86" s="188">
        <f t="shared" si="12"/>
        <v>8.8535065950000012E-3</v>
      </c>
      <c r="Q86" s="188">
        <f t="shared" si="12"/>
        <v>8.8535065950000012E-3</v>
      </c>
      <c r="R86" s="188">
        <f t="shared" si="12"/>
        <v>8.8535065950000012E-3</v>
      </c>
      <c r="S86" s="188">
        <f t="shared" si="12"/>
        <v>8.8535065950000012E-3</v>
      </c>
      <c r="T86" s="188">
        <f t="shared" si="12"/>
        <v>8.8535065950000012E-3</v>
      </c>
      <c r="U86" s="188">
        <f t="shared" si="12"/>
        <v>8.8535065950000012E-3</v>
      </c>
      <c r="V86" s="188">
        <f t="shared" si="12"/>
        <v>8.8535065950000012E-3</v>
      </c>
      <c r="W86" s="188">
        <f t="shared" si="12"/>
        <v>8.8535065950000012E-3</v>
      </c>
      <c r="X86" s="188">
        <f t="shared" si="12"/>
        <v>8.8535065950000012E-3</v>
      </c>
      <c r="Y86" s="188">
        <f t="shared" si="12"/>
        <v>8.8535065950000012E-3</v>
      </c>
      <c r="Z86" s="188">
        <f t="shared" si="12"/>
        <v>8.8535065950000012E-3</v>
      </c>
      <c r="AA86" s="188">
        <f t="shared" si="12"/>
        <v>8.8535065950000012E-3</v>
      </c>
      <c r="AB86" s="188">
        <f t="shared" si="12"/>
        <v>8.8535065950000012E-3</v>
      </c>
      <c r="AC86" s="188">
        <f t="shared" si="12"/>
        <v>8.8535065950000012E-3</v>
      </c>
    </row>
    <row r="87" spans="1:29">
      <c r="A87" s="149" t="s">
        <v>120</v>
      </c>
      <c r="B87" t="s">
        <v>24</v>
      </c>
      <c r="C87">
        <f t="shared" si="2"/>
        <v>32</v>
      </c>
      <c r="G87" s="123">
        <f>SUM(G84:G86)</f>
        <v>3.0645152593751512</v>
      </c>
      <c r="H87" s="123">
        <f t="shared" ref="H87:AC87" si="13">SUM(H84:H86)</f>
        <v>3.0645152593751512</v>
      </c>
      <c r="I87" s="123">
        <f t="shared" si="13"/>
        <v>3.12348451563156</v>
      </c>
      <c r="J87" s="123">
        <f t="shared" si="13"/>
        <v>3.12348451563156</v>
      </c>
      <c r="K87" s="123">
        <f t="shared" si="13"/>
        <v>2.3216398884803757</v>
      </c>
      <c r="L87" s="123">
        <f t="shared" si="13"/>
        <v>2.3221952610926806</v>
      </c>
      <c r="M87" s="123">
        <f t="shared" si="13"/>
        <v>3.4141294249665819</v>
      </c>
      <c r="N87" s="123">
        <f t="shared" si="13"/>
        <v>3.4141294249665819</v>
      </c>
      <c r="O87" s="123">
        <f t="shared" si="13"/>
        <v>2.3739471332087696</v>
      </c>
      <c r="P87" s="123">
        <f t="shared" si="13"/>
        <v>2.3739919565888963</v>
      </c>
      <c r="Q87" s="123">
        <f t="shared" si="13"/>
        <v>3.1991108505577071</v>
      </c>
      <c r="R87" s="123">
        <f t="shared" si="13"/>
        <v>3.1991556739378342</v>
      </c>
      <c r="S87" s="123">
        <f t="shared" si="13"/>
        <v>3.4973054929978931</v>
      </c>
      <c r="T87" s="123">
        <f t="shared" si="13"/>
        <v>3.4979144350157148</v>
      </c>
      <c r="U87" s="123">
        <f t="shared" si="13"/>
        <v>4.3906953145393359</v>
      </c>
      <c r="V87" s="123">
        <f t="shared" si="13"/>
        <v>4.3907401379194626</v>
      </c>
      <c r="W87" s="123">
        <f t="shared" si="13"/>
        <v>2.2098916487510665</v>
      </c>
      <c r="X87" s="123">
        <f t="shared" si="13"/>
        <v>2.2098916487510665</v>
      </c>
      <c r="Y87" s="123">
        <f t="shared" si="13"/>
        <v>1.9559442420152271</v>
      </c>
      <c r="Z87" s="123">
        <f t="shared" si="13"/>
        <v>1.9559442420152271</v>
      </c>
      <c r="AA87" s="123">
        <f t="shared" si="13"/>
        <v>1.8000395065949999</v>
      </c>
      <c r="AB87" s="123">
        <f t="shared" si="13"/>
        <v>1.8000395065949999</v>
      </c>
      <c r="AC87" s="123">
        <f t="shared" si="13"/>
        <v>1.8000395065949999</v>
      </c>
    </row>
    <row r="88" spans="1:29">
      <c r="C88">
        <f t="shared" si="2"/>
        <v>33</v>
      </c>
    </row>
    <row r="89" spans="1:29">
      <c r="A89" t="s">
        <v>121</v>
      </c>
      <c r="C89">
        <f t="shared" si="2"/>
        <v>34</v>
      </c>
    </row>
    <row r="90" spans="1:29">
      <c r="A90" s="149" t="s">
        <v>122</v>
      </c>
      <c r="C90">
        <f t="shared" si="2"/>
        <v>35</v>
      </c>
      <c r="G90">
        <f t="shared" ref="G90:AC90" si="14">IF(G$55="DF",FuelStored_Distillate_Hours,IF(G$55="GasOnly",FuelStored_GAs_Hours,0))</f>
        <v>36</v>
      </c>
      <c r="H90">
        <f t="shared" si="14"/>
        <v>14</v>
      </c>
      <c r="I90">
        <f t="shared" si="14"/>
        <v>36</v>
      </c>
      <c r="J90">
        <f t="shared" si="14"/>
        <v>14</v>
      </c>
      <c r="K90">
        <f t="shared" si="14"/>
        <v>36</v>
      </c>
      <c r="L90">
        <f t="shared" si="14"/>
        <v>14</v>
      </c>
      <c r="M90">
        <f t="shared" si="14"/>
        <v>14</v>
      </c>
      <c r="N90">
        <f t="shared" si="14"/>
        <v>36</v>
      </c>
      <c r="O90">
        <f t="shared" si="14"/>
        <v>36</v>
      </c>
      <c r="P90">
        <f t="shared" si="14"/>
        <v>14</v>
      </c>
      <c r="Q90">
        <f t="shared" si="14"/>
        <v>36</v>
      </c>
      <c r="R90">
        <f t="shared" si="14"/>
        <v>14</v>
      </c>
      <c r="S90">
        <f t="shared" si="14"/>
        <v>36</v>
      </c>
      <c r="T90">
        <f t="shared" si="14"/>
        <v>14</v>
      </c>
      <c r="U90">
        <f t="shared" si="14"/>
        <v>36</v>
      </c>
      <c r="V90">
        <f t="shared" si="14"/>
        <v>14</v>
      </c>
      <c r="W90">
        <f t="shared" si="14"/>
        <v>36</v>
      </c>
      <c r="X90">
        <f t="shared" si="14"/>
        <v>14</v>
      </c>
      <c r="Y90">
        <f t="shared" si="14"/>
        <v>36</v>
      </c>
      <c r="Z90">
        <f t="shared" si="14"/>
        <v>14</v>
      </c>
      <c r="AA90">
        <f t="shared" si="14"/>
        <v>0</v>
      </c>
      <c r="AB90">
        <f t="shared" si="14"/>
        <v>0</v>
      </c>
      <c r="AC90">
        <f t="shared" si="14"/>
        <v>0</v>
      </c>
    </row>
    <row r="91" spans="1:29">
      <c r="A91" s="149" t="s">
        <v>123</v>
      </c>
      <c r="C91">
        <f t="shared" si="2"/>
        <v>36</v>
      </c>
      <c r="G91" s="127">
        <f t="shared" ref="G91:AC91" si="15">IF(G$55="DF",FuelStored_Distillate_Hours*DistilateCost_DollarsPerGJ,FuelStored_GAs_Hours*GasCost_DollarsPerGJ)*G65</f>
        <v>4089368.2491130447</v>
      </c>
      <c r="H91" s="127">
        <f t="shared" si="15"/>
        <v>719198.03624421009</v>
      </c>
      <c r="I91" s="127">
        <f t="shared" si="15"/>
        <v>4290293.2925807871</v>
      </c>
      <c r="J91" s="127">
        <f t="shared" si="15"/>
        <v>754534.7650227017</v>
      </c>
      <c r="K91" s="127">
        <f t="shared" si="15"/>
        <v>3044183.5745323743</v>
      </c>
      <c r="L91" s="127">
        <f t="shared" si="15"/>
        <v>535398.30564346549</v>
      </c>
      <c r="M91" s="127">
        <f t="shared" si="15"/>
        <v>770397.01682225615</v>
      </c>
      <c r="N91" s="127">
        <f t="shared" si="15"/>
        <v>4380486.2374993805</v>
      </c>
      <c r="O91" s="127">
        <f t="shared" si="15"/>
        <v>2908952.3248952376</v>
      </c>
      <c r="P91" s="127">
        <f t="shared" si="15"/>
        <v>511607.74035926961</v>
      </c>
      <c r="Q91" s="127">
        <f t="shared" si="15"/>
        <v>3810255.7855770597</v>
      </c>
      <c r="R91" s="127">
        <f t="shared" si="15"/>
        <v>670119.88490197738</v>
      </c>
      <c r="S91" s="127">
        <f t="shared" si="15"/>
        <v>3019208.0060932362</v>
      </c>
      <c r="T91" s="127">
        <f t="shared" si="15"/>
        <v>530997.37778265972</v>
      </c>
      <c r="U91" s="127">
        <f t="shared" si="15"/>
        <v>4091905.7393255588</v>
      </c>
      <c r="V91" s="127">
        <f t="shared" si="15"/>
        <v>719651.66666179989</v>
      </c>
      <c r="W91" s="127">
        <f t="shared" si="15"/>
        <v>2362293.881368102</v>
      </c>
      <c r="X91" s="127">
        <f t="shared" si="15"/>
        <v>415457.11146951461</v>
      </c>
      <c r="Y91" s="127">
        <f t="shared" si="15"/>
        <v>2098275.311732945</v>
      </c>
      <c r="Z91" s="127">
        <f t="shared" si="15"/>
        <v>369024.11124880955</v>
      </c>
      <c r="AA91" s="127">
        <f t="shared" si="15"/>
        <v>0</v>
      </c>
      <c r="AB91" s="127">
        <f t="shared" si="15"/>
        <v>0</v>
      </c>
      <c r="AC91" s="127">
        <f t="shared" si="15"/>
        <v>0</v>
      </c>
    </row>
    <row r="92" spans="1:29">
      <c r="A92" s="149" t="s">
        <v>124</v>
      </c>
      <c r="C92">
        <f t="shared" si="2"/>
        <v>37</v>
      </c>
      <c r="G92" s="127">
        <f>SUM(Calculations!G37:G41,Calculations!G43:G46)*Calculations!G11</f>
        <v>11429537.347868161</v>
      </c>
      <c r="H92" s="127">
        <f>SUM(Calculations!H37:H41,Calculations!H43:H46)*Calculations!H11</f>
        <v>45888487.553809799</v>
      </c>
      <c r="I92" s="127">
        <f>SUM(Calculations!I37:I41,Calculations!I43:I46)*Calculations!I11</f>
        <v>11576017.074628303</v>
      </c>
      <c r="J92" s="127">
        <f>SUM(Calculations!J37:J41,Calculations!J43:J46)*Calculations!J11</f>
        <v>47704087.809419975</v>
      </c>
      <c r="K92" s="127">
        <f>SUM(Calculations!K37:K41,Calculations!K43:K46)*Calculations!K11</f>
        <v>9142111.7662097365</v>
      </c>
      <c r="L92" s="127">
        <f>SUM(Calculations!L37:L41,Calculations!L43:L46)*Calculations!L11</f>
        <v>34710337.363631718</v>
      </c>
      <c r="M92" s="127">
        <f>SUM(Calculations!M37:M41,Calculations!M43:M46)*Calculations!M11</f>
        <v>51969389.860222027</v>
      </c>
      <c r="N92" s="127">
        <f>SUM(Calculations!N37:N41,Calculations!N43:N46)*Calculations!N11</f>
        <v>15073095.641978191</v>
      </c>
      <c r="O92" s="127">
        <f>SUM(Calculations!O37:O41,Calculations!O43:O46)*Calculations!O11</f>
        <v>11299661.941771008</v>
      </c>
      <c r="P92" s="127">
        <f>SUM(Calculations!P37:P41,Calculations!P43:P46)*Calculations!P11</f>
        <v>35817111.711059198</v>
      </c>
      <c r="Q92" s="127">
        <f>SUM(Calculations!Q37:Q41,Calculations!Q43:Q46)*Calculations!Q11</f>
        <v>14143345.515498547</v>
      </c>
      <c r="R92" s="127">
        <f>SUM(Calculations!R37:R41,Calculations!R43:R46)*Calculations!R11</f>
        <v>46323784.854170971</v>
      </c>
      <c r="S92" s="127">
        <f>SUM(Calculations!S37:S41,Calculations!S43:S46)*Calculations!S11</f>
        <v>13705468.001255929</v>
      </c>
      <c r="T92" s="127">
        <f>SUM(Calculations!T37:T41,Calculations!T43:T46)*Calculations!T11</f>
        <v>39429344.330312803</v>
      </c>
      <c r="U92" s="127">
        <f>SUM(Calculations!U37:U41,Calculations!U43:U46)*Calculations!U11</f>
        <v>17161355.896357946</v>
      </c>
      <c r="V92" s="127">
        <f>SUM(Calculations!V37:V41,Calculations!V43:V46)*Calculations!V11</f>
        <v>51637353.864858001</v>
      </c>
      <c r="W92" s="127">
        <f>SUM(Calculations!W37:W41,Calculations!W43:W46)*Calculations!W11</f>
        <v>13049960.449762192</v>
      </c>
      <c r="X92" s="127">
        <f>SUM(Calculations!X37:X41,Calculations!X43:X46)*Calculations!X11</f>
        <v>32953329.553355347</v>
      </c>
      <c r="Y92" s="127">
        <f>SUM(Calculations!Y37:Y41,Calculations!Y43:Y46)*Calculations!Y11</f>
        <v>11655735.342011016</v>
      </c>
      <c r="Z92" s="127">
        <f>SUM(Calculations!Z37:Z41,Calculations!Z43:Z46)*Calculations!Z11</f>
        <v>29351465.410887603</v>
      </c>
      <c r="AA92" s="127">
        <f>SUM(Calculations!AA37:AA41,Calculations!AA43:AA46)*Calculations!AA11</f>
        <v>10834953.381119819</v>
      </c>
      <c r="AB92" s="127">
        <f>SUM(Calculations!AB37:AB41,Calculations!AB43:AB46)*Calculations!AB11</f>
        <v>11843653.317762015</v>
      </c>
      <c r="AC92" s="127">
        <f>SUM(Calculations!AC37:AC41,Calculations!AC43:AC46)*Calculations!AC11</f>
        <v>12853128.61285351</v>
      </c>
    </row>
    <row r="93" spans="1:29">
      <c r="A93" s="149" t="s">
        <v>125</v>
      </c>
      <c r="C93">
        <f t="shared" si="2"/>
        <v>38</v>
      </c>
      <c r="G93" s="127">
        <f t="shared" ref="G93:AC93" si="16">G92*CashCycle_Days/365.25</f>
        <v>1408156.5520987469</v>
      </c>
      <c r="H93" s="127">
        <f t="shared" si="16"/>
        <v>5653612.4296274912</v>
      </c>
      <c r="I93" s="127">
        <f t="shared" si="16"/>
        <v>1426203.3356831584</v>
      </c>
      <c r="J93" s="127">
        <f t="shared" si="16"/>
        <v>5877300.3461297713</v>
      </c>
      <c r="K93" s="127">
        <f t="shared" si="16"/>
        <v>1126338.2052825138</v>
      </c>
      <c r="L93" s="127">
        <f t="shared" si="16"/>
        <v>4276427.6012687953</v>
      </c>
      <c r="M93" s="127">
        <f t="shared" si="16"/>
        <v>6402799.5721012754</v>
      </c>
      <c r="N93" s="127">
        <f t="shared" si="16"/>
        <v>1857054.9045558348</v>
      </c>
      <c r="O93" s="127">
        <f t="shared" si="16"/>
        <v>1392155.475372198</v>
      </c>
      <c r="P93" s="127">
        <f t="shared" si="16"/>
        <v>4412785.8370914822</v>
      </c>
      <c r="Q93" s="127">
        <f t="shared" si="16"/>
        <v>1742506.6343530039</v>
      </c>
      <c r="R93" s="127">
        <f t="shared" si="16"/>
        <v>5707242.4871668546</v>
      </c>
      <c r="S93" s="127">
        <f t="shared" si="16"/>
        <v>1688558.685986357</v>
      </c>
      <c r="T93" s="127">
        <f t="shared" si="16"/>
        <v>4857824.7634882303</v>
      </c>
      <c r="U93" s="127">
        <f t="shared" si="16"/>
        <v>2114335.428709398</v>
      </c>
      <c r="V93" s="127">
        <f t="shared" si="16"/>
        <v>6361891.6465944154</v>
      </c>
      <c r="W93" s="127">
        <f t="shared" si="16"/>
        <v>1607798.0020240892</v>
      </c>
      <c r="X93" s="127">
        <f t="shared" si="16"/>
        <v>4059958.4665324865</v>
      </c>
      <c r="Y93" s="127">
        <f t="shared" si="16"/>
        <v>1436024.888132774</v>
      </c>
      <c r="Z93" s="127">
        <f t="shared" si="16"/>
        <v>3616196.9705405668</v>
      </c>
      <c r="AA93" s="127">
        <f t="shared" si="16"/>
        <v>1334901.8539367334</v>
      </c>
      <c r="AB93" s="127">
        <f t="shared" si="16"/>
        <v>1459177.0001349507</v>
      </c>
      <c r="AC93" s="127">
        <f t="shared" si="16"/>
        <v>1583547.6730415004</v>
      </c>
    </row>
    <row r="94" spans="1:29">
      <c r="A94" s="149" t="s">
        <v>126</v>
      </c>
      <c r="C94">
        <f t="shared" si="2"/>
        <v>39</v>
      </c>
      <c r="G94" s="127">
        <f>G91+G93</f>
        <v>5497524.8012117911</v>
      </c>
      <c r="H94" s="127">
        <f t="shared" ref="H94:AC94" si="17">H91+H93</f>
        <v>6372810.465871701</v>
      </c>
      <c r="I94" s="127">
        <f t="shared" si="17"/>
        <v>5716496.6282639457</v>
      </c>
      <c r="J94" s="127">
        <f t="shared" si="17"/>
        <v>6631835.1111524729</v>
      </c>
      <c r="K94" s="127">
        <f t="shared" si="17"/>
        <v>4170521.7798148878</v>
      </c>
      <c r="L94" s="127">
        <f t="shared" si="17"/>
        <v>4811825.9069122607</v>
      </c>
      <c r="M94" s="127">
        <f t="shared" si="17"/>
        <v>7173196.5889235316</v>
      </c>
      <c r="N94" s="127">
        <f t="shared" si="17"/>
        <v>6237541.1420552153</v>
      </c>
      <c r="O94" s="127">
        <f t="shared" si="17"/>
        <v>4301107.8002674356</v>
      </c>
      <c r="P94" s="127">
        <f t="shared" si="17"/>
        <v>4924393.5774507523</v>
      </c>
      <c r="Q94" s="127">
        <f t="shared" si="17"/>
        <v>5552762.4199300632</v>
      </c>
      <c r="R94" s="127">
        <f t="shared" si="17"/>
        <v>6377362.3720688317</v>
      </c>
      <c r="S94" s="127">
        <f t="shared" si="17"/>
        <v>4707766.6920795934</v>
      </c>
      <c r="T94" s="127">
        <f t="shared" si="17"/>
        <v>5388822.1412708899</v>
      </c>
      <c r="U94" s="127">
        <f t="shared" si="17"/>
        <v>6206241.1680349568</v>
      </c>
      <c r="V94" s="127">
        <f t="shared" si="17"/>
        <v>7081543.3132562153</v>
      </c>
      <c r="W94" s="127">
        <f t="shared" si="17"/>
        <v>3970091.8833921915</v>
      </c>
      <c r="X94" s="127">
        <f t="shared" si="17"/>
        <v>4475415.5780020012</v>
      </c>
      <c r="Y94" s="127">
        <f t="shared" si="17"/>
        <v>3534300.1998657193</v>
      </c>
      <c r="Z94" s="127">
        <f t="shared" si="17"/>
        <v>3985221.0817893762</v>
      </c>
      <c r="AA94" s="127">
        <f t="shared" si="17"/>
        <v>1334901.8539367334</v>
      </c>
      <c r="AB94" s="127">
        <f t="shared" si="17"/>
        <v>1459177.0001349507</v>
      </c>
      <c r="AC94" s="127">
        <f t="shared" si="17"/>
        <v>1583547.6730415004</v>
      </c>
    </row>
    <row r="95" spans="1:29">
      <c r="A95" s="149" t="s">
        <v>127</v>
      </c>
      <c r="B95" t="s">
        <v>24</v>
      </c>
      <c r="C95">
        <f t="shared" si="2"/>
        <v>40</v>
      </c>
      <c r="G95" s="191">
        <f t="shared" ref="G95:AC95" si="18">G94*WACC/1000000</f>
        <v>0.59648144093147937</v>
      </c>
      <c r="H95" s="191">
        <f t="shared" si="18"/>
        <v>0.69144993554707956</v>
      </c>
      <c r="I95" s="191">
        <f t="shared" si="18"/>
        <v>0.62023988416663811</v>
      </c>
      <c r="J95" s="191">
        <f t="shared" si="18"/>
        <v>0.71955410956004329</v>
      </c>
      <c r="K95" s="191">
        <f t="shared" si="18"/>
        <v>0.45250161310991532</v>
      </c>
      <c r="L95" s="191">
        <f t="shared" si="18"/>
        <v>0.52208311089998027</v>
      </c>
      <c r="M95" s="191">
        <f t="shared" si="18"/>
        <v>0.77829182989820311</v>
      </c>
      <c r="N95" s="191">
        <f t="shared" si="18"/>
        <v>0.67677321391299083</v>
      </c>
      <c r="O95" s="191">
        <f t="shared" si="18"/>
        <v>0.46667019632901674</v>
      </c>
      <c r="P95" s="191">
        <f t="shared" si="18"/>
        <v>0.5342967031534066</v>
      </c>
      <c r="Q95" s="191">
        <f t="shared" si="18"/>
        <v>0.60247472256241175</v>
      </c>
      <c r="R95" s="191">
        <f t="shared" si="18"/>
        <v>0.69194381736946831</v>
      </c>
      <c r="S95" s="191">
        <f t="shared" si="18"/>
        <v>0.51079268609063588</v>
      </c>
      <c r="T95" s="191">
        <f t="shared" si="18"/>
        <v>0.58468720232789162</v>
      </c>
      <c r="U95" s="191">
        <f t="shared" si="18"/>
        <v>0.67337716673179282</v>
      </c>
      <c r="V95" s="191">
        <f t="shared" si="18"/>
        <v>0.76834744948829936</v>
      </c>
      <c r="W95" s="191">
        <f t="shared" si="18"/>
        <v>0.43075496934805274</v>
      </c>
      <c r="X95" s="191">
        <f t="shared" si="18"/>
        <v>0.48558259021321715</v>
      </c>
      <c r="Y95" s="191">
        <f t="shared" si="18"/>
        <v>0.38347157168543056</v>
      </c>
      <c r="Z95" s="191">
        <f t="shared" si="18"/>
        <v>0.43239648737414732</v>
      </c>
      <c r="AA95" s="191">
        <f t="shared" si="18"/>
        <v>0.14483685115213557</v>
      </c>
      <c r="AB95" s="191">
        <f t="shared" si="18"/>
        <v>0.15832070451464217</v>
      </c>
      <c r="AC95" s="191">
        <f t="shared" si="18"/>
        <v>0.1718149225250028</v>
      </c>
    </row>
    <row r="96" spans="1:29">
      <c r="C96">
        <f t="shared" si="2"/>
        <v>41</v>
      </c>
    </row>
    <row r="97" spans="1:29" s="39" customFormat="1" ht="15">
      <c r="A97" s="99" t="s">
        <v>128</v>
      </c>
      <c r="B97" s="37"/>
      <c r="C97" s="37"/>
      <c r="D97" s="37"/>
      <c r="E97" s="38"/>
      <c r="F97" s="38"/>
      <c r="G97" s="37"/>
      <c r="H97" s="37"/>
      <c r="I97" s="37"/>
      <c r="J97" s="37"/>
      <c r="K97" s="37"/>
      <c r="L97" s="37"/>
      <c r="M97" s="37"/>
      <c r="N97" s="37"/>
      <c r="O97" s="37"/>
      <c r="P97" s="37"/>
      <c r="Q97" s="37"/>
      <c r="R97" s="37"/>
      <c r="S97" s="37"/>
      <c r="T97" s="37"/>
      <c r="U97" s="37"/>
      <c r="V97" s="37"/>
      <c r="W97" s="37"/>
      <c r="X97" s="37"/>
      <c r="Y97" s="37"/>
      <c r="Z97" s="37"/>
      <c r="AA97" s="37"/>
      <c r="AB97" s="37"/>
      <c r="AC97" s="37"/>
    </row>
    <row r="101" spans="1:29" ht="45">
      <c r="A101" s="168" t="s">
        <v>129</v>
      </c>
      <c r="B101" s="169" t="s">
        <v>130</v>
      </c>
    </row>
    <row r="102" spans="1:29">
      <c r="A102" t="s">
        <v>131</v>
      </c>
      <c r="B102" s="134">
        <v>50</v>
      </c>
    </row>
    <row r="103" spans="1:29">
      <c r="A103" t="s">
        <v>132</v>
      </c>
      <c r="B103" s="134">
        <v>3</v>
      </c>
    </row>
    <row r="104" spans="1:29">
      <c r="A104" t="s">
        <v>133</v>
      </c>
      <c r="B104" s="134">
        <v>15</v>
      </c>
    </row>
    <row r="105" spans="1:29">
      <c r="A105" t="s">
        <v>134</v>
      </c>
      <c r="B105" s="134">
        <v>10</v>
      </c>
    </row>
    <row r="106" spans="1:29">
      <c r="A106" t="s">
        <v>135</v>
      </c>
      <c r="B106" s="134">
        <v>10</v>
      </c>
    </row>
    <row r="107" spans="1:29">
      <c r="A107" t="s">
        <v>136</v>
      </c>
      <c r="B107" s="134">
        <v>13</v>
      </c>
    </row>
    <row r="108" spans="1:29">
      <c r="A108" t="s">
        <v>137</v>
      </c>
      <c r="B108" s="134">
        <v>13</v>
      </c>
    </row>
    <row r="109" spans="1:29" ht="15" thickBot="1">
      <c r="A109" t="s">
        <v>138</v>
      </c>
      <c r="B109" s="134">
        <v>13</v>
      </c>
    </row>
    <row r="110" spans="1:29" ht="15.75" thickBot="1">
      <c r="A110" s="184" t="s">
        <v>32</v>
      </c>
      <c r="B110" s="183">
        <f>AVERAGE(B102:B109)</f>
        <v>15.875</v>
      </c>
    </row>
  </sheetData>
  <dataValidations count="4">
    <dataValidation type="list" allowBlank="1" showInputMessage="1" showErrorMessage="1" sqref="B27" xr:uid="{6DB1E0B3-1EA9-4093-A49C-2AEEF00A28CF}">
      <formula1>LandgateSiteList</formula1>
    </dataValidation>
    <dataValidation type="list" allowBlank="1" showInputMessage="1" showErrorMessage="1" sqref="G57:AC57" xr:uid="{F4ADA159-6794-46C6-A6D0-DD49124E4664}">
      <formula1>IASRSelectionList</formula1>
    </dataValidation>
    <dataValidation type="list" allowBlank="1" showInputMessage="1" showErrorMessage="1" sqref="B24" xr:uid="{AD342D29-DE99-455A-9593-9A6B25A0CFAE}">
      <formula1>"TRUE, FALSE"</formula1>
    </dataValidation>
    <dataValidation type="list" allowBlank="1" showInputMessage="1" showErrorMessage="1" sqref="G70" xr:uid="{8B2B68F1-D558-41B1-86F8-4EEAE235E4F2}">
      <formula1>ElectricalConnectionSelectionList</formula1>
    </dataValidation>
  </dataValidations>
  <hyperlinks>
    <hyperlink ref="F25" r:id="rId1" xr:uid="{7763E435-9300-49C2-94E7-3B0FB122D378}"/>
  </hyperlinks>
  <pageMargins left="0.7" right="0.7" top="0.75" bottom="0.75" header="0.3" footer="0.3"/>
  <pageSetup paperSize="9" orientation="portrait" r:id="rId2"/>
  <headerFooter>
    <oddHeader>&amp;C&amp;"Aptos"&amp;10&amp;KFF0000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46E7C-6F4A-4E86-89EF-66E9951B7EBC}">
  <dimension ref="A4:AC55"/>
  <sheetViews>
    <sheetView topLeftCell="A4" zoomScale="90" zoomScaleNormal="90" workbookViewId="0">
      <pane xSplit="2" ySplit="5" topLeftCell="O44" activePane="bottomRight" state="frozen"/>
      <selection pane="topRight" activeCell="C4" sqref="C4"/>
      <selection pane="bottomLeft" activeCell="A9" sqref="A9"/>
      <selection pane="bottomRight" activeCell="S55" sqref="S55"/>
    </sheetView>
  </sheetViews>
  <sheetFormatPr defaultRowHeight="14.25"/>
  <cols>
    <col min="1" max="1" width="31" customWidth="1"/>
    <col min="7" max="29" width="15.625" customWidth="1"/>
  </cols>
  <sheetData>
    <row r="4" spans="1:29" ht="18">
      <c r="A4" s="151" t="s">
        <v>139</v>
      </c>
    </row>
    <row r="5" spans="1:29" s="39" customFormat="1" ht="15">
      <c r="A5" s="99" t="s">
        <v>71</v>
      </c>
      <c r="B5" s="37"/>
      <c r="C5" s="37"/>
      <c r="D5" s="37"/>
      <c r="E5" s="38"/>
      <c r="F5" s="38"/>
      <c r="G5" s="37" t="s">
        <v>72</v>
      </c>
      <c r="H5" s="37" t="s">
        <v>72</v>
      </c>
      <c r="I5" s="37" t="s">
        <v>72</v>
      </c>
      <c r="J5" s="37" t="s">
        <v>72</v>
      </c>
      <c r="K5" s="37" t="s">
        <v>72</v>
      </c>
      <c r="L5" s="37" t="s">
        <v>72</v>
      </c>
      <c r="M5" s="37" t="s">
        <v>72</v>
      </c>
      <c r="N5" s="37" t="s">
        <v>72</v>
      </c>
      <c r="O5" s="37" t="s">
        <v>72</v>
      </c>
      <c r="P5" s="37" t="s">
        <v>72</v>
      </c>
      <c r="Q5" s="37" t="s">
        <v>72</v>
      </c>
      <c r="R5" s="37" t="s">
        <v>72</v>
      </c>
      <c r="S5" s="37" t="s">
        <v>73</v>
      </c>
      <c r="T5" s="37" t="s">
        <v>73</v>
      </c>
      <c r="U5" s="37" t="s">
        <v>73</v>
      </c>
      <c r="V5" s="37" t="s">
        <v>73</v>
      </c>
      <c r="W5" s="37" t="s">
        <v>74</v>
      </c>
      <c r="X5" s="37" t="s">
        <v>74</v>
      </c>
      <c r="Y5" s="37" t="s">
        <v>74</v>
      </c>
      <c r="Z5" s="37" t="s">
        <v>74</v>
      </c>
      <c r="AA5" s="37" t="s">
        <v>75</v>
      </c>
      <c r="AB5" s="37" t="s">
        <v>75</v>
      </c>
      <c r="AC5" s="37" t="s">
        <v>75</v>
      </c>
    </row>
    <row r="6" spans="1:29" s="39" customFormat="1" ht="15">
      <c r="A6" s="37"/>
      <c r="B6" s="37"/>
      <c r="C6" s="37"/>
      <c r="D6" s="37"/>
      <c r="E6" s="38"/>
      <c r="F6" s="38"/>
      <c r="G6" s="37" t="s">
        <v>76</v>
      </c>
      <c r="H6" s="37" t="s">
        <v>76</v>
      </c>
      <c r="I6" s="37" t="s">
        <v>77</v>
      </c>
      <c r="J6" s="37" t="s">
        <v>77</v>
      </c>
      <c r="K6" s="37" t="s">
        <v>78</v>
      </c>
      <c r="L6" s="37" t="s">
        <v>78</v>
      </c>
      <c r="M6" s="37" t="s">
        <v>79</v>
      </c>
      <c r="N6" s="37" t="s">
        <v>79</v>
      </c>
      <c r="O6" s="37" t="s">
        <v>80</v>
      </c>
      <c r="P6" s="37" t="s">
        <v>80</v>
      </c>
      <c r="Q6" s="37" t="s">
        <v>81</v>
      </c>
      <c r="R6" s="37" t="s">
        <v>81</v>
      </c>
      <c r="S6" s="37" t="s">
        <v>82</v>
      </c>
      <c r="T6" s="37" t="s">
        <v>82</v>
      </c>
      <c r="U6" s="37" t="s">
        <v>76</v>
      </c>
      <c r="V6" s="37" t="s">
        <v>76</v>
      </c>
      <c r="W6" s="37" t="s">
        <v>83</v>
      </c>
      <c r="X6" s="37" t="s">
        <v>83</v>
      </c>
      <c r="Y6" s="37" t="s">
        <v>84</v>
      </c>
      <c r="Z6" s="37" t="s">
        <v>84</v>
      </c>
      <c r="AA6" s="37" t="s">
        <v>85</v>
      </c>
      <c r="AB6" s="37" t="s">
        <v>86</v>
      </c>
      <c r="AC6" s="37" t="s">
        <v>87</v>
      </c>
    </row>
    <row r="7" spans="1:29" s="39" customFormat="1" ht="15">
      <c r="A7" s="37"/>
      <c r="B7" s="37"/>
      <c r="C7" s="37"/>
      <c r="D7" s="37"/>
      <c r="E7" s="38"/>
      <c r="F7" s="38"/>
      <c r="G7" s="37" t="s">
        <v>89</v>
      </c>
      <c r="H7" s="37" t="s">
        <v>90</v>
      </c>
      <c r="I7" s="37" t="s">
        <v>89</v>
      </c>
      <c r="J7" s="37" t="s">
        <v>90</v>
      </c>
      <c r="K7" s="37" t="s">
        <v>89</v>
      </c>
      <c r="L7" s="37" t="s">
        <v>90</v>
      </c>
      <c r="M7" s="37" t="s">
        <v>90</v>
      </c>
      <c r="N7" s="37" t="s">
        <v>89</v>
      </c>
      <c r="O7" s="37" t="s">
        <v>89</v>
      </c>
      <c r="P7" s="37" t="s">
        <v>90</v>
      </c>
      <c r="Q7" s="37" t="s">
        <v>89</v>
      </c>
      <c r="R7" s="37" t="s">
        <v>90</v>
      </c>
      <c r="S7" s="37" t="s">
        <v>89</v>
      </c>
      <c r="T7" s="37" t="s">
        <v>90</v>
      </c>
      <c r="U7" s="37" t="s">
        <v>89</v>
      </c>
      <c r="V7" s="37" t="s">
        <v>90</v>
      </c>
      <c r="W7" s="37" t="s">
        <v>89</v>
      </c>
      <c r="X7" s="37" t="s">
        <v>90</v>
      </c>
      <c r="Y7" s="37" t="s">
        <v>89</v>
      </c>
      <c r="Z7" s="37" t="s">
        <v>90</v>
      </c>
      <c r="AA7" s="37"/>
      <c r="AB7" s="37"/>
      <c r="AC7" s="37"/>
    </row>
    <row r="8" spans="1:29">
      <c r="A8" t="s">
        <v>91</v>
      </c>
      <c r="G8" t="str">
        <f>G5&amp;"_"&amp;G6&amp;IF(G7&lt;&gt;"","_"&amp;G7,"")</f>
        <v>SCGT _GT13E2 _DF</v>
      </c>
      <c r="H8" t="str">
        <f t="shared" ref="H8:AC8" si="0">H5&amp;"_"&amp;H6&amp;IF(H7&lt;&gt;"","_"&amp;H7,"")</f>
        <v>SCGT _GT13E2 _GasOnly</v>
      </c>
      <c r="I8" t="str">
        <f t="shared" si="0"/>
        <v>SCGT _SGT5-2000E _DF</v>
      </c>
      <c r="J8" t="str">
        <f t="shared" si="0"/>
        <v>SCGT _SGT5-2000E _GasOnly</v>
      </c>
      <c r="K8" t="str">
        <f t="shared" si="0"/>
        <v>SCGT _1x9FA _DF</v>
      </c>
      <c r="L8" t="str">
        <f t="shared" si="0"/>
        <v>SCGT _1x9FA _GasOnly</v>
      </c>
      <c r="M8" t="str">
        <f t="shared" si="0"/>
        <v>SCGT _LM2500 _GasOnly</v>
      </c>
      <c r="N8" t="str">
        <f t="shared" si="0"/>
        <v>SCGT _LM2500 _DF</v>
      </c>
      <c r="O8" t="str">
        <f t="shared" si="0"/>
        <v>SCGT _LM6000 _DF</v>
      </c>
      <c r="P8" t="str">
        <f t="shared" si="0"/>
        <v>SCGT _LM6000 _GasOnly</v>
      </c>
      <c r="Q8" t="str">
        <f t="shared" si="0"/>
        <v>SCGT _LMS100 _DF</v>
      </c>
      <c r="R8" t="str">
        <f t="shared" si="0"/>
        <v>SCGT _LMS100 _GasOnly</v>
      </c>
      <c r="S8" t="str">
        <f t="shared" si="0"/>
        <v>CCGT _9FA _DF</v>
      </c>
      <c r="T8" t="str">
        <f t="shared" si="0"/>
        <v>CCGT _9FA _GasOnly</v>
      </c>
      <c r="U8" t="str">
        <f t="shared" si="0"/>
        <v>CCGT _GT13E2 _DF</v>
      </c>
      <c r="V8" t="str">
        <f t="shared" si="0"/>
        <v>CCGT _GT13E2 _GasOnly</v>
      </c>
      <c r="W8" t="str">
        <f t="shared" si="0"/>
        <v>RECIP _Jenbacher _DF</v>
      </c>
      <c r="X8" t="str">
        <f t="shared" si="0"/>
        <v>RECIP _Jenbacher _GasOnly</v>
      </c>
      <c r="Y8" t="str">
        <f t="shared" si="0"/>
        <v>RECIP _Wartsila _DF</v>
      </c>
      <c r="Z8" t="str">
        <f t="shared" si="0"/>
        <v>RECIP _Wartsila _GasOnly</v>
      </c>
      <c r="AA8" t="str">
        <f t="shared" si="0"/>
        <v>BESS_6hr</v>
      </c>
      <c r="AB8" t="str">
        <f t="shared" si="0"/>
        <v>BESS_7hr</v>
      </c>
      <c r="AC8" t="str">
        <f t="shared" si="0"/>
        <v>BESS_8hr</v>
      </c>
    </row>
    <row r="9" spans="1:29">
      <c r="A9" t="s">
        <v>92</v>
      </c>
      <c r="G9" t="str">
        <f t="shared" ref="G9:AC9" si="1">HLOOKUP(G$8,ConfigParamsTable,ConfigRow_IASRSelection,FALSE)</f>
        <v>OCGT (large GT)</v>
      </c>
      <c r="H9" t="str">
        <f t="shared" si="1"/>
        <v>OCGT (large GT)</v>
      </c>
      <c r="I9" t="str">
        <f t="shared" si="1"/>
        <v>OCGT (large GT)</v>
      </c>
      <c r="J9" t="str">
        <f t="shared" si="1"/>
        <v>OCGT (large GT)</v>
      </c>
      <c r="K9" t="str">
        <f t="shared" si="1"/>
        <v>OCGT (large GT)</v>
      </c>
      <c r="L9" t="str">
        <f t="shared" si="1"/>
        <v>OCGT (large GT)</v>
      </c>
      <c r="M9" t="str">
        <f t="shared" si="1"/>
        <v>OCGT (small GT)</v>
      </c>
      <c r="N9" t="str">
        <f t="shared" si="1"/>
        <v>OCGT (small GT)</v>
      </c>
      <c r="O9" t="str">
        <f t="shared" si="1"/>
        <v>OCGT (small GT)</v>
      </c>
      <c r="P9" t="str">
        <f t="shared" si="1"/>
        <v>OCGT (small GT)</v>
      </c>
      <c r="Q9" t="str">
        <f t="shared" si="1"/>
        <v>OCGT (small GT)</v>
      </c>
      <c r="R9" t="str">
        <f t="shared" si="1"/>
        <v>OCGT (small GT)</v>
      </c>
      <c r="S9" t="str">
        <f t="shared" si="1"/>
        <v>OCGT (large GT)</v>
      </c>
      <c r="T9" t="str">
        <f t="shared" si="1"/>
        <v>CCGT</v>
      </c>
      <c r="U9" t="str">
        <f t="shared" si="1"/>
        <v>CCGT</v>
      </c>
      <c r="V9" t="str">
        <f t="shared" si="1"/>
        <v>CCGT</v>
      </c>
      <c r="W9" t="str">
        <f t="shared" si="1"/>
        <v>Gas recip</v>
      </c>
      <c r="X9" t="str">
        <f t="shared" si="1"/>
        <v>Gas recip</v>
      </c>
      <c r="Y9" t="str">
        <f t="shared" si="1"/>
        <v>Gas recip</v>
      </c>
      <c r="Z9" t="str">
        <f t="shared" si="1"/>
        <v>Gas recip</v>
      </c>
      <c r="AA9" t="str">
        <f t="shared" si="1"/>
        <v>Battery storage (6hrs storage)</v>
      </c>
      <c r="AB9" t="str">
        <f t="shared" si="1"/>
        <v>Battery storage (7hrs storage)</v>
      </c>
      <c r="AC9" t="str">
        <f t="shared" si="1"/>
        <v>Battery storage (8hrs storage)</v>
      </c>
    </row>
    <row r="10" spans="1:29">
      <c r="AA10" s="127">
        <f>IASR_BESS6_RefCapex</f>
        <v>1807.1355992328754</v>
      </c>
      <c r="AB10" s="127">
        <f>IASR_BESS7_RefCapex</f>
        <v>2021.8461122751007</v>
      </c>
      <c r="AC10" s="127">
        <f>IASR_BESS8_RefCapex</f>
        <v>2237.7777777777778</v>
      </c>
    </row>
    <row r="11" spans="1:29">
      <c r="A11" t="s">
        <v>140</v>
      </c>
      <c r="G11" s="133">
        <f t="shared" ref="G11:AC11" si="2">HLOOKUP(G$8,ConfigParamsTable,ConfigRow_NetMW,FALSE)</f>
        <v>341.18865966796875</v>
      </c>
      <c r="H11" s="133">
        <f t="shared" si="2"/>
        <v>341.18865966796875</v>
      </c>
      <c r="I11" s="133">
        <f t="shared" si="2"/>
        <v>347.77304077148438</v>
      </c>
      <c r="J11" s="133">
        <f t="shared" si="2"/>
        <v>347.77304077148438</v>
      </c>
      <c r="K11" s="133">
        <f t="shared" si="2"/>
        <v>258.24078369140625</v>
      </c>
      <c r="L11" s="133">
        <f t="shared" si="2"/>
        <v>258.30279541015625</v>
      </c>
      <c r="M11" s="133">
        <f t="shared" si="2"/>
        <v>380.225830078125</v>
      </c>
      <c r="N11" s="133">
        <f t="shared" si="2"/>
        <v>380.225830078125</v>
      </c>
      <c r="O11" s="133">
        <f t="shared" si="2"/>
        <v>264.081298828125</v>
      </c>
      <c r="P11" s="133">
        <f t="shared" si="2"/>
        <v>264.0863037109375</v>
      </c>
      <c r="Q11" s="133">
        <f t="shared" si="2"/>
        <v>356.21731567382813</v>
      </c>
      <c r="R11" s="133">
        <f t="shared" si="2"/>
        <v>356.22232055664063</v>
      </c>
      <c r="S11" s="133">
        <f t="shared" si="2"/>
        <v>389.51309204101563</v>
      </c>
      <c r="T11" s="133">
        <f t="shared" si="2"/>
        <v>389.58108520507813</v>
      </c>
      <c r="U11" s="133">
        <f t="shared" si="2"/>
        <v>489.26708984375</v>
      </c>
      <c r="V11" s="133">
        <f t="shared" si="2"/>
        <v>489.2720947265625</v>
      </c>
      <c r="W11" s="133">
        <f t="shared" si="2"/>
        <v>245.76321411132813</v>
      </c>
      <c r="X11" s="133">
        <f t="shared" si="2"/>
        <v>245.76321411132813</v>
      </c>
      <c r="Y11" s="133">
        <f t="shared" si="2"/>
        <v>217.40798950195313</v>
      </c>
      <c r="Z11" s="133">
        <f t="shared" si="2"/>
        <v>217.40798950195313</v>
      </c>
      <c r="AA11" s="133">
        <f t="shared" si="2"/>
        <v>200</v>
      </c>
      <c r="AB11" s="133">
        <f t="shared" si="2"/>
        <v>200</v>
      </c>
      <c r="AC11" s="133">
        <f t="shared" si="2"/>
        <v>200</v>
      </c>
    </row>
    <row r="12" spans="1:29">
      <c r="A12" t="s">
        <v>141</v>
      </c>
      <c r="G12" s="127">
        <f t="shared" ref="G12:AC12" si="3">HLOOKUP(G$8,ConfigParamsTable,ConfigRow_NumberOfConnections,FALSE)</f>
        <v>2</v>
      </c>
      <c r="H12" s="127">
        <f t="shared" si="3"/>
        <v>2</v>
      </c>
      <c r="I12" s="127">
        <f t="shared" si="3"/>
        <v>2</v>
      </c>
      <c r="J12" s="127">
        <f t="shared" si="3"/>
        <v>2</v>
      </c>
      <c r="K12" s="127">
        <f t="shared" si="3"/>
        <v>1</v>
      </c>
      <c r="L12" s="127">
        <f t="shared" si="3"/>
        <v>1</v>
      </c>
      <c r="M12" s="127">
        <f t="shared" si="3"/>
        <v>2</v>
      </c>
      <c r="N12" s="127">
        <f t="shared" si="3"/>
        <v>2</v>
      </c>
      <c r="O12" s="127">
        <f t="shared" si="3"/>
        <v>1</v>
      </c>
      <c r="P12" s="127">
        <f t="shared" si="3"/>
        <v>1</v>
      </c>
      <c r="Q12" s="127">
        <f t="shared" si="3"/>
        <v>2</v>
      </c>
      <c r="R12" s="127">
        <f t="shared" si="3"/>
        <v>2</v>
      </c>
      <c r="S12" s="127">
        <f t="shared" si="3"/>
        <v>1</v>
      </c>
      <c r="T12" s="127">
        <f t="shared" si="3"/>
        <v>1</v>
      </c>
      <c r="U12" s="127">
        <f t="shared" si="3"/>
        <v>2</v>
      </c>
      <c r="V12" s="127">
        <f t="shared" si="3"/>
        <v>2</v>
      </c>
      <c r="W12" s="127">
        <f t="shared" si="3"/>
        <v>1</v>
      </c>
      <c r="X12" s="127">
        <f t="shared" si="3"/>
        <v>1</v>
      </c>
      <c r="Y12" s="127">
        <f t="shared" si="3"/>
        <v>1</v>
      </c>
      <c r="Z12" s="127">
        <f t="shared" si="3"/>
        <v>1</v>
      </c>
      <c r="AA12" s="127">
        <f t="shared" si="3"/>
        <v>1</v>
      </c>
      <c r="AB12" s="127">
        <f t="shared" si="3"/>
        <v>1</v>
      </c>
      <c r="AC12" s="127">
        <f t="shared" si="3"/>
        <v>1</v>
      </c>
    </row>
    <row r="13" spans="1:29">
      <c r="G13" s="133"/>
      <c r="H13" s="133"/>
      <c r="I13" s="133"/>
      <c r="J13" s="133"/>
      <c r="K13" s="133"/>
      <c r="L13" s="133"/>
      <c r="M13" s="133"/>
      <c r="N13" s="133"/>
      <c r="O13" s="133"/>
      <c r="P13" s="133"/>
      <c r="Q13" s="133"/>
      <c r="R13" s="133"/>
      <c r="S13" s="133"/>
      <c r="T13" s="133"/>
      <c r="U13" s="133"/>
      <c r="V13" s="133"/>
      <c r="W13" s="133"/>
      <c r="X13" s="133"/>
      <c r="Y13" s="133"/>
      <c r="Z13" s="133"/>
    </row>
    <row r="14" spans="1:29">
      <c r="A14" t="s">
        <v>142</v>
      </c>
    </row>
    <row r="15" spans="1:29" ht="15">
      <c r="A15" s="42" t="s">
        <v>143</v>
      </c>
      <c r="C15" t="s">
        <v>144</v>
      </c>
      <c r="F15" s="73" t="s">
        <v>145</v>
      </c>
      <c r="G15" s="132">
        <f>TFlow33!G34</f>
        <v>330724438.77260029</v>
      </c>
      <c r="H15" s="132">
        <f>TFlow33!H34</f>
        <v>323326490.78344661</v>
      </c>
      <c r="I15" s="132">
        <f>TFlow33!I34</f>
        <v>329878085.37891895</v>
      </c>
      <c r="J15" s="132">
        <f>TFlow33!J34</f>
        <v>322488920.07926786</v>
      </c>
      <c r="K15" s="132">
        <f>TFlow33!K34</f>
        <v>278642917.95786983</v>
      </c>
      <c r="L15" s="132">
        <f>TFlow33!L34</f>
        <v>256949002.9436754</v>
      </c>
      <c r="M15" s="132">
        <f>TFlow33!M34</f>
        <v>599088675.98731232</v>
      </c>
      <c r="N15" s="132">
        <f>TFlow33!N34</f>
        <v>613684854.10281694</v>
      </c>
      <c r="O15" s="132">
        <f>TFlow33!O34</f>
        <v>503056425.04523087</v>
      </c>
      <c r="P15" s="132">
        <f>TFlow33!P34</f>
        <v>493530399.9974218</v>
      </c>
      <c r="Q15" s="132">
        <f>TFlow33!Q34</f>
        <v>549745978.46532631</v>
      </c>
      <c r="R15" s="132">
        <f>TFlow33!R34</f>
        <v>538998857.02435577</v>
      </c>
      <c r="S15" s="132">
        <f>TFlow33!S34</f>
        <v>574176979.31691062</v>
      </c>
      <c r="T15" s="132">
        <f>TFlow33!T34</f>
        <v>550792739.48150182</v>
      </c>
      <c r="U15" s="132">
        <f>TFlow33!U34</f>
        <v>687088337.70939076</v>
      </c>
      <c r="V15" s="132">
        <f>TFlow33!V34</f>
        <v>679042255.46041846</v>
      </c>
      <c r="W15" s="132">
        <f>TFlow33!W34</f>
        <v>376219349.84085208</v>
      </c>
      <c r="X15" s="132">
        <f>TFlow33!X34</f>
        <v>366592319.45395952</v>
      </c>
      <c r="Y15" s="132">
        <f>TFlow33!Y34</f>
        <v>317597520.99899608</v>
      </c>
      <c r="Z15" s="132">
        <f>TFlow33!Z34</f>
        <v>309335228.84117609</v>
      </c>
    </row>
    <row r="16" spans="1:29">
      <c r="C16" t="s">
        <v>146</v>
      </c>
      <c r="F16" s="73" t="s">
        <v>145</v>
      </c>
      <c r="G16" s="127">
        <f t="shared" ref="G16:Z16" si="4">G15/Fx_Rate</f>
        <v>504922807.28641266</v>
      </c>
      <c r="H16" s="127">
        <f t="shared" si="4"/>
        <v>493628230.20373529</v>
      </c>
      <c r="I16" s="127">
        <f t="shared" si="4"/>
        <v>503630664.70063961</v>
      </c>
      <c r="J16" s="127">
        <f t="shared" si="4"/>
        <v>492349496.30422574</v>
      </c>
      <c r="K16" s="127">
        <f t="shared" si="4"/>
        <v>425409035.05018294</v>
      </c>
      <c r="L16" s="127">
        <f t="shared" si="4"/>
        <v>392288554.11248153</v>
      </c>
      <c r="M16" s="127">
        <f t="shared" si="4"/>
        <v>914639199.98062944</v>
      </c>
      <c r="N16" s="127">
        <f t="shared" si="4"/>
        <v>936923441.37834644</v>
      </c>
      <c r="O16" s="127">
        <f t="shared" si="4"/>
        <v>768025076.40493262</v>
      </c>
      <c r="P16" s="127">
        <f t="shared" si="4"/>
        <v>753481526.71362102</v>
      </c>
      <c r="Q16" s="127">
        <f t="shared" si="4"/>
        <v>839306837.3516432</v>
      </c>
      <c r="R16" s="127">
        <f t="shared" si="4"/>
        <v>822899018.357795</v>
      </c>
      <c r="S16" s="127">
        <f t="shared" si="4"/>
        <v>876606075.29299331</v>
      </c>
      <c r="T16" s="127">
        <f t="shared" si="4"/>
        <v>840904945.77328515</v>
      </c>
      <c r="U16" s="127">
        <f t="shared" si="4"/>
        <v>1048989828.5639553</v>
      </c>
      <c r="V16" s="127">
        <f t="shared" si="4"/>
        <v>1036705733.5273564</v>
      </c>
      <c r="W16" s="127">
        <f t="shared" si="4"/>
        <v>574380686.77992678</v>
      </c>
      <c r="X16" s="127">
        <f t="shared" si="4"/>
        <v>559682930.46406031</v>
      </c>
      <c r="Y16" s="127">
        <f t="shared" si="4"/>
        <v>484881711.44884896</v>
      </c>
      <c r="Z16" s="127">
        <f t="shared" si="4"/>
        <v>472267524.94836044</v>
      </c>
      <c r="AA16" s="127">
        <f>AA11*AA10*1000</f>
        <v>361427119.84657508</v>
      </c>
      <c r="AB16" s="127">
        <f>AB11*AB10*1000</f>
        <v>404369222.45502013</v>
      </c>
      <c r="AC16" s="127">
        <f>AC11*AC10*1000</f>
        <v>447555555.55555558</v>
      </c>
    </row>
    <row r="17" spans="1:29">
      <c r="C17" t="s">
        <v>147</v>
      </c>
      <c r="F17" s="73" t="s">
        <v>145</v>
      </c>
      <c r="G17" s="127">
        <f t="shared" ref="G17:AC17" si="5">G16*CPIIndex_CurrDate/CPIIndex_RefDate</f>
        <v>521697140.11000878</v>
      </c>
      <c r="H17" s="127">
        <f t="shared" si="5"/>
        <v>510027339.3449139</v>
      </c>
      <c r="I17" s="127">
        <f t="shared" si="5"/>
        <v>520362070.50751847</v>
      </c>
      <c r="J17" s="127">
        <f t="shared" si="5"/>
        <v>508706123.88641429</v>
      </c>
      <c r="K17" s="127">
        <f t="shared" si="5"/>
        <v>439541794.82478517</v>
      </c>
      <c r="L17" s="127">
        <f t="shared" si="5"/>
        <v>405320999.22015005</v>
      </c>
      <c r="M17" s="127">
        <f t="shared" si="5"/>
        <v>945024958.22442353</v>
      </c>
      <c r="N17" s="127">
        <f t="shared" si="5"/>
        <v>968049517.30344236</v>
      </c>
      <c r="O17" s="127">
        <f t="shared" si="5"/>
        <v>793540081.99107635</v>
      </c>
      <c r="P17" s="127">
        <f t="shared" si="5"/>
        <v>778513372.61785281</v>
      </c>
      <c r="Q17" s="127">
        <f t="shared" si="5"/>
        <v>867189935.57515085</v>
      </c>
      <c r="R17" s="127">
        <f t="shared" si="5"/>
        <v>850237022.92987645</v>
      </c>
      <c r="S17" s="127">
        <f t="shared" si="5"/>
        <v>905728313.08846307</v>
      </c>
      <c r="T17" s="127">
        <f t="shared" si="5"/>
        <v>868841135.68163252</v>
      </c>
      <c r="U17" s="127">
        <f t="shared" si="5"/>
        <v>1083838926.8003073</v>
      </c>
      <c r="V17" s="127">
        <f t="shared" si="5"/>
        <v>1071146734.7326236</v>
      </c>
      <c r="W17" s="127">
        <f t="shared" si="5"/>
        <v>593462520.01949155</v>
      </c>
      <c r="X17" s="127">
        <f t="shared" si="5"/>
        <v>578276481.03418601</v>
      </c>
      <c r="Y17" s="127">
        <f t="shared" si="5"/>
        <v>500990247.42810053</v>
      </c>
      <c r="Z17" s="127">
        <f t="shared" si="5"/>
        <v>487956997.73695272</v>
      </c>
      <c r="AA17" s="127">
        <f t="shared" si="5"/>
        <v>373434299.38430041</v>
      </c>
      <c r="AB17" s="127">
        <f t="shared" si="5"/>
        <v>417803006.43782932</v>
      </c>
      <c r="AC17" s="127">
        <f t="shared" si="5"/>
        <v>462424057.705984</v>
      </c>
    </row>
    <row r="18" spans="1:29">
      <c r="C18" t="str">
        <f>"AUD, at "&amp;SiteLocation&amp;" location, $2026"</f>
        <v>AUD, at Average location, $2026</v>
      </c>
      <c r="F18" s="73" t="s">
        <v>145</v>
      </c>
      <c r="G18" s="127">
        <f t="shared" ref="G18:AC18" si="6">G17*HLOOKUP(G8,ConfigParamsTable,ConfigRow_LocalisationFactor,FALSE)</f>
        <v>545132404.92823839</v>
      </c>
      <c r="H18" s="127">
        <f t="shared" si="6"/>
        <v>532938382.63636202</v>
      </c>
      <c r="I18" s="127">
        <f t="shared" si="6"/>
        <v>543737362.38880897</v>
      </c>
      <c r="J18" s="127">
        <f t="shared" si="6"/>
        <v>531557816.58578259</v>
      </c>
      <c r="K18" s="127">
        <f t="shared" si="6"/>
        <v>459286542.43491518</v>
      </c>
      <c r="L18" s="127">
        <f t="shared" si="6"/>
        <v>423528507.41371739</v>
      </c>
      <c r="M18" s="127">
        <f t="shared" si="6"/>
        <v>987476619.26123834</v>
      </c>
      <c r="N18" s="127">
        <f t="shared" si="6"/>
        <v>1011535469.3069012</v>
      </c>
      <c r="O18" s="127">
        <f t="shared" si="6"/>
        <v>829186859.66254127</v>
      </c>
      <c r="P18" s="127">
        <f t="shared" si="6"/>
        <v>813485132.37866974</v>
      </c>
      <c r="Q18" s="127">
        <f t="shared" si="6"/>
        <v>906145153.50795722</v>
      </c>
      <c r="R18" s="127">
        <f t="shared" si="6"/>
        <v>888430695.57761848</v>
      </c>
      <c r="S18" s="127">
        <f t="shared" si="6"/>
        <v>946414721.42514789</v>
      </c>
      <c r="T18" s="127">
        <f t="shared" si="6"/>
        <v>907870527.48380792</v>
      </c>
      <c r="U18" s="127">
        <f t="shared" si="6"/>
        <v>1132526278.7076864</v>
      </c>
      <c r="V18" s="127">
        <f t="shared" si="6"/>
        <v>1119263938.0631292</v>
      </c>
      <c r="W18" s="127">
        <f t="shared" si="6"/>
        <v>620121572.26849949</v>
      </c>
      <c r="X18" s="127">
        <f t="shared" si="6"/>
        <v>604253358.0941838</v>
      </c>
      <c r="Y18" s="127">
        <f t="shared" si="6"/>
        <v>523495333.64987314</v>
      </c>
      <c r="Z18" s="127">
        <f t="shared" si="6"/>
        <v>509876614.66155851</v>
      </c>
      <c r="AA18" s="127">
        <f t="shared" si="6"/>
        <v>383006598.06078476</v>
      </c>
      <c r="AB18" s="127">
        <f t="shared" si="6"/>
        <v>428510878.31137884</v>
      </c>
      <c r="AC18" s="127">
        <f t="shared" si="6"/>
        <v>474273611.37840748</v>
      </c>
    </row>
    <row r="20" spans="1:29" ht="15">
      <c r="A20" s="135" t="s">
        <v>148</v>
      </c>
    </row>
    <row r="21" spans="1:29" ht="15">
      <c r="A21" s="136" t="s">
        <v>149</v>
      </c>
      <c r="G21" s="127">
        <f t="shared" ref="G21:AC21" si="7">PreFIDCost_Millions*1000000</f>
        <v>20000000</v>
      </c>
      <c r="H21" s="127">
        <f t="shared" si="7"/>
        <v>20000000</v>
      </c>
      <c r="I21" s="127">
        <f t="shared" si="7"/>
        <v>20000000</v>
      </c>
      <c r="J21" s="127">
        <f t="shared" si="7"/>
        <v>20000000</v>
      </c>
      <c r="K21" s="127">
        <f t="shared" si="7"/>
        <v>20000000</v>
      </c>
      <c r="L21" s="127">
        <f t="shared" si="7"/>
        <v>20000000</v>
      </c>
      <c r="M21" s="127">
        <f t="shared" si="7"/>
        <v>20000000</v>
      </c>
      <c r="N21" s="127">
        <f t="shared" si="7"/>
        <v>20000000</v>
      </c>
      <c r="O21" s="127">
        <f t="shared" si="7"/>
        <v>20000000</v>
      </c>
      <c r="P21" s="127">
        <f t="shared" si="7"/>
        <v>20000000</v>
      </c>
      <c r="Q21" s="127">
        <f t="shared" si="7"/>
        <v>20000000</v>
      </c>
      <c r="R21" s="127">
        <f t="shared" si="7"/>
        <v>20000000</v>
      </c>
      <c r="S21" s="127">
        <f t="shared" si="7"/>
        <v>20000000</v>
      </c>
      <c r="T21" s="127">
        <f t="shared" si="7"/>
        <v>20000000</v>
      </c>
      <c r="U21" s="127">
        <f t="shared" si="7"/>
        <v>20000000</v>
      </c>
      <c r="V21" s="127">
        <f t="shared" si="7"/>
        <v>20000000</v>
      </c>
      <c r="W21" s="127">
        <f t="shared" si="7"/>
        <v>20000000</v>
      </c>
      <c r="X21" s="127">
        <f t="shared" si="7"/>
        <v>20000000</v>
      </c>
      <c r="Y21" s="127">
        <f t="shared" si="7"/>
        <v>20000000</v>
      </c>
      <c r="Z21" s="127">
        <f t="shared" si="7"/>
        <v>20000000</v>
      </c>
      <c r="AA21" s="127">
        <f t="shared" si="7"/>
        <v>20000000</v>
      </c>
      <c r="AB21" s="127">
        <f t="shared" si="7"/>
        <v>20000000</v>
      </c>
      <c r="AC21" s="127">
        <f t="shared" si="7"/>
        <v>20000000</v>
      </c>
    </row>
    <row r="22" spans="1:29" ht="15">
      <c r="A22" s="136" t="s">
        <v>150</v>
      </c>
      <c r="G22" s="127">
        <f t="shared" ref="G22:AC22" si="8">HLOOKUP(G$8,ConfigParamsTable,ConfigRow_LandAreaHa,FALSE)*LandCost_DollarsPerHa</f>
        <v>1442512.5</v>
      </c>
      <c r="H22" s="127">
        <f t="shared" si="8"/>
        <v>1221577.5</v>
      </c>
      <c r="I22" s="127">
        <f t="shared" si="8"/>
        <v>1396395</v>
      </c>
      <c r="J22" s="127">
        <f t="shared" si="8"/>
        <v>1180286.25</v>
      </c>
      <c r="K22" s="127">
        <f t="shared" si="8"/>
        <v>1311667.5</v>
      </c>
      <c r="L22" s="127">
        <f t="shared" si="8"/>
        <v>973293.75</v>
      </c>
      <c r="M22" s="127">
        <f t="shared" si="8"/>
        <v>2064026.25</v>
      </c>
      <c r="N22" s="127">
        <f t="shared" si="8"/>
        <v>2449590</v>
      </c>
      <c r="O22" s="127">
        <f t="shared" si="8"/>
        <v>1733696.25</v>
      </c>
      <c r="P22" s="127">
        <f t="shared" si="8"/>
        <v>1475223.75</v>
      </c>
      <c r="Q22" s="127">
        <f t="shared" si="8"/>
        <v>3056625</v>
      </c>
      <c r="R22" s="127">
        <f t="shared" si="8"/>
        <v>2587942.5</v>
      </c>
      <c r="S22" s="127">
        <f t="shared" si="8"/>
        <v>2123550</v>
      </c>
      <c r="T22" s="127">
        <f t="shared" si="8"/>
        <v>1653795</v>
      </c>
      <c r="U22" s="127">
        <f t="shared" si="8"/>
        <v>2203987.5</v>
      </c>
      <c r="V22" s="127">
        <f t="shared" si="8"/>
        <v>1953558.75</v>
      </c>
      <c r="W22" s="127">
        <f t="shared" si="8"/>
        <v>1645215</v>
      </c>
      <c r="X22" s="127">
        <f t="shared" si="8"/>
        <v>1313812.5</v>
      </c>
      <c r="Y22" s="127">
        <f t="shared" si="8"/>
        <v>1349741.25</v>
      </c>
      <c r="Z22" s="127">
        <f t="shared" si="8"/>
        <v>1099312.5</v>
      </c>
      <c r="AA22" s="127">
        <f t="shared" si="8"/>
        <v>5550187.5000000009</v>
      </c>
      <c r="AB22" s="127">
        <f t="shared" si="8"/>
        <v>6475218.7500000009</v>
      </c>
      <c r="AC22" s="127">
        <f t="shared" si="8"/>
        <v>7400250</v>
      </c>
    </row>
    <row r="23" spans="1:29" ht="15">
      <c r="A23" s="136" t="s">
        <v>151</v>
      </c>
      <c r="G23" s="127">
        <f t="shared" ref="G23:AC23" si="9">VLOOKUP(G$12,ElectricalCOnnectonsCostTable,2,FALSE)</f>
        <v>41500202</v>
      </c>
      <c r="H23" s="127">
        <f t="shared" si="9"/>
        <v>41500202</v>
      </c>
      <c r="I23" s="127">
        <f t="shared" si="9"/>
        <v>41500202</v>
      </c>
      <c r="J23" s="127">
        <f t="shared" si="9"/>
        <v>41500202</v>
      </c>
      <c r="K23" s="127">
        <f t="shared" si="9"/>
        <v>26550101</v>
      </c>
      <c r="L23" s="127">
        <f t="shared" si="9"/>
        <v>26550101</v>
      </c>
      <c r="M23" s="127">
        <f t="shared" si="9"/>
        <v>41500202</v>
      </c>
      <c r="N23" s="127">
        <f t="shared" si="9"/>
        <v>41500202</v>
      </c>
      <c r="O23" s="127">
        <f t="shared" si="9"/>
        <v>26550101</v>
      </c>
      <c r="P23" s="127">
        <f t="shared" si="9"/>
        <v>26550101</v>
      </c>
      <c r="Q23" s="127">
        <f t="shared" si="9"/>
        <v>41500202</v>
      </c>
      <c r="R23" s="127">
        <f t="shared" si="9"/>
        <v>41500202</v>
      </c>
      <c r="S23" s="127">
        <f t="shared" si="9"/>
        <v>26550101</v>
      </c>
      <c r="T23" s="127">
        <f t="shared" si="9"/>
        <v>26550101</v>
      </c>
      <c r="U23" s="127">
        <f t="shared" si="9"/>
        <v>41500202</v>
      </c>
      <c r="V23" s="127">
        <f t="shared" si="9"/>
        <v>41500202</v>
      </c>
      <c r="W23" s="127">
        <f t="shared" si="9"/>
        <v>26550101</v>
      </c>
      <c r="X23" s="127">
        <f t="shared" si="9"/>
        <v>26550101</v>
      </c>
      <c r="Y23" s="127">
        <f t="shared" si="9"/>
        <v>26550101</v>
      </c>
      <c r="Z23" s="127">
        <f t="shared" si="9"/>
        <v>26550101</v>
      </c>
      <c r="AA23" s="127">
        <f t="shared" si="9"/>
        <v>26550101</v>
      </c>
      <c r="AB23" s="127">
        <f t="shared" si="9"/>
        <v>26550101</v>
      </c>
      <c r="AC23" s="127">
        <f t="shared" si="9"/>
        <v>26550101</v>
      </c>
    </row>
    <row r="24" spans="1:29" ht="15">
      <c r="A24" s="136" t="s">
        <v>152</v>
      </c>
      <c r="G24" s="127">
        <f t="shared" ref="G24:AC24" si="10">IF(IncludeFixedCappitalContributionCHarge,FixedCapitalCharge_DollarsPerMW,0)*G$11</f>
        <v>34118865.966796875</v>
      </c>
      <c r="H24" s="127">
        <f t="shared" si="10"/>
        <v>34118865.966796875</v>
      </c>
      <c r="I24" s="127">
        <f t="shared" si="10"/>
        <v>34777304.077148438</v>
      </c>
      <c r="J24" s="127">
        <f t="shared" si="10"/>
        <v>34777304.077148438</v>
      </c>
      <c r="K24" s="127">
        <f t="shared" si="10"/>
        <v>25824078.369140625</v>
      </c>
      <c r="L24" s="127">
        <f t="shared" si="10"/>
        <v>25830279.541015625</v>
      </c>
      <c r="M24" s="127">
        <f t="shared" si="10"/>
        <v>38022583.0078125</v>
      </c>
      <c r="N24" s="127">
        <f t="shared" si="10"/>
        <v>38022583.0078125</v>
      </c>
      <c r="O24" s="127">
        <f t="shared" si="10"/>
        <v>26408129.8828125</v>
      </c>
      <c r="P24" s="127">
        <f t="shared" si="10"/>
        <v>26408630.37109375</v>
      </c>
      <c r="Q24" s="127">
        <f t="shared" si="10"/>
        <v>35621731.567382813</v>
      </c>
      <c r="R24" s="127">
        <f t="shared" si="10"/>
        <v>35622232.055664063</v>
      </c>
      <c r="S24" s="127">
        <f t="shared" si="10"/>
        <v>38951309.204101563</v>
      </c>
      <c r="T24" s="127">
        <f t="shared" si="10"/>
        <v>38958108.520507813</v>
      </c>
      <c r="U24" s="127">
        <f t="shared" si="10"/>
        <v>48926708.984375</v>
      </c>
      <c r="V24" s="127">
        <f t="shared" si="10"/>
        <v>48927209.47265625</v>
      </c>
      <c r="W24" s="127">
        <f t="shared" si="10"/>
        <v>24576321.411132813</v>
      </c>
      <c r="X24" s="127">
        <f t="shared" si="10"/>
        <v>24576321.411132813</v>
      </c>
      <c r="Y24" s="127">
        <f t="shared" si="10"/>
        <v>21740798.950195313</v>
      </c>
      <c r="Z24" s="127">
        <f t="shared" si="10"/>
        <v>21740798.950195313</v>
      </c>
      <c r="AA24" s="127">
        <f t="shared" si="10"/>
        <v>20000000</v>
      </c>
      <c r="AB24" s="127">
        <f t="shared" si="10"/>
        <v>20000000</v>
      </c>
      <c r="AC24" s="127">
        <f t="shared" si="10"/>
        <v>20000000</v>
      </c>
    </row>
    <row r="25" spans="1:29" ht="15">
      <c r="A25" s="136" t="s">
        <v>153</v>
      </c>
      <c r="G25" s="127">
        <f t="shared" ref="G25:AC25" si="11">HLOOKUP(G$8,ConfigParamsTable,ConfigRow_GAsConnCost_Millions,FALSE)*1000000</f>
        <v>28793693.600248937</v>
      </c>
      <c r="H25" s="127">
        <f t="shared" si="11"/>
        <v>102632342.5115269</v>
      </c>
      <c r="I25" s="127">
        <f t="shared" si="11"/>
        <v>28793693.600248937</v>
      </c>
      <c r="J25" s="127">
        <f t="shared" si="11"/>
        <v>95580708.577655345</v>
      </c>
      <c r="K25" s="127">
        <f t="shared" si="11"/>
        <v>22095270.200186703</v>
      </c>
      <c r="L25" s="127">
        <f t="shared" si="11"/>
        <v>78717349.883483142</v>
      </c>
      <c r="M25" s="127">
        <f t="shared" si="11"/>
        <v>118160895.32414658</v>
      </c>
      <c r="N25" s="127">
        <f t="shared" si="11"/>
        <v>28793693.600248937</v>
      </c>
      <c r="O25" s="127">
        <f t="shared" si="11"/>
        <v>22095270.200186703</v>
      </c>
      <c r="P25" s="127">
        <f t="shared" si="11"/>
        <v>87209594.81683737</v>
      </c>
      <c r="Q25" s="127">
        <f t="shared" si="11"/>
        <v>25444481.90021782</v>
      </c>
      <c r="R25" s="127">
        <f t="shared" si="11"/>
        <v>136964316.61438528</v>
      </c>
      <c r="S25" s="127">
        <f t="shared" si="11"/>
        <v>22095270.200186703</v>
      </c>
      <c r="T25" s="127">
        <f t="shared" si="11"/>
        <v>78604323.692399785</v>
      </c>
      <c r="U25" s="127">
        <f t="shared" si="11"/>
        <v>28793693.600248937</v>
      </c>
      <c r="V25" s="127">
        <f t="shared" si="11"/>
        <v>102694124.65324605</v>
      </c>
      <c r="W25" s="127">
        <f t="shared" si="11"/>
        <v>18746058.500155583</v>
      </c>
      <c r="X25" s="127">
        <f t="shared" si="11"/>
        <v>75636977.571043789</v>
      </c>
      <c r="Y25" s="127">
        <f t="shared" si="11"/>
        <v>18746058.500155583</v>
      </c>
      <c r="Z25" s="127">
        <f t="shared" si="11"/>
        <v>74444468.781645611</v>
      </c>
      <c r="AA25" s="127">
        <f t="shared" si="11"/>
        <v>0</v>
      </c>
      <c r="AB25" s="127">
        <f t="shared" si="11"/>
        <v>0</v>
      </c>
      <c r="AC25" s="127">
        <f t="shared" si="11"/>
        <v>0</v>
      </c>
    </row>
    <row r="26" spans="1:29" ht="15">
      <c r="A26" s="136" t="s">
        <v>154</v>
      </c>
      <c r="G26" s="127">
        <f t="shared" ref="G26:AC26" si="12">HLOOKUP(G$8,ConfigParamsTable,ConfigRow_WaterConnCost_Millions,FALSE)*1000000</f>
        <v>0</v>
      </c>
      <c r="H26" s="127">
        <f t="shared" si="12"/>
        <v>0</v>
      </c>
      <c r="I26" s="127">
        <f t="shared" si="12"/>
        <v>0</v>
      </c>
      <c r="J26" s="127">
        <f t="shared" si="12"/>
        <v>0</v>
      </c>
      <c r="K26" s="127">
        <f t="shared" si="12"/>
        <v>0</v>
      </c>
      <c r="L26" s="127">
        <f t="shared" si="12"/>
        <v>0</v>
      </c>
      <c r="M26" s="127">
        <f t="shared" si="12"/>
        <v>0</v>
      </c>
      <c r="N26" s="127">
        <f t="shared" si="12"/>
        <v>0</v>
      </c>
      <c r="O26" s="127">
        <f t="shared" si="12"/>
        <v>0</v>
      </c>
      <c r="P26" s="127">
        <f t="shared" si="12"/>
        <v>0</v>
      </c>
      <c r="Q26" s="127">
        <f t="shared" si="12"/>
        <v>0</v>
      </c>
      <c r="R26" s="127">
        <f t="shared" si="12"/>
        <v>0</v>
      </c>
      <c r="S26" s="127">
        <f t="shared" si="12"/>
        <v>0</v>
      </c>
      <c r="T26" s="127">
        <f t="shared" si="12"/>
        <v>0</v>
      </c>
      <c r="U26" s="127">
        <f t="shared" si="12"/>
        <v>0</v>
      </c>
      <c r="V26" s="127">
        <f t="shared" si="12"/>
        <v>0</v>
      </c>
      <c r="W26" s="127">
        <f t="shared" si="12"/>
        <v>0</v>
      </c>
      <c r="X26" s="127">
        <f t="shared" si="12"/>
        <v>0</v>
      </c>
      <c r="Y26" s="127">
        <f t="shared" si="12"/>
        <v>0</v>
      </c>
      <c r="Z26" s="127">
        <f t="shared" si="12"/>
        <v>0</v>
      </c>
      <c r="AA26" s="127">
        <f t="shared" si="12"/>
        <v>0</v>
      </c>
      <c r="AB26" s="127">
        <f t="shared" si="12"/>
        <v>0</v>
      </c>
      <c r="AC26" s="127">
        <f t="shared" si="12"/>
        <v>0</v>
      </c>
    </row>
    <row r="27" spans="1:29" ht="15">
      <c r="A27" s="135" t="s">
        <v>155</v>
      </c>
      <c r="G27" s="141">
        <f>SUM(G21:G26)</f>
        <v>125855274.06704581</v>
      </c>
      <c r="H27" s="141">
        <f t="shared" ref="H27:AC27" si="13">SUM(H21:H26)</f>
        <v>199472987.97832376</v>
      </c>
      <c r="I27" s="141">
        <f t="shared" si="13"/>
        <v>126467594.67739737</v>
      </c>
      <c r="J27" s="141">
        <f t="shared" si="13"/>
        <v>193038500.90480378</v>
      </c>
      <c r="K27" s="141">
        <f t="shared" si="13"/>
        <v>95781117.069327325</v>
      </c>
      <c r="L27" s="141">
        <f t="shared" si="13"/>
        <v>152071024.17449877</v>
      </c>
      <c r="M27" s="141">
        <f t="shared" si="13"/>
        <v>219747706.58195907</v>
      </c>
      <c r="N27" s="141">
        <f t="shared" si="13"/>
        <v>130766068.60806143</v>
      </c>
      <c r="O27" s="141">
        <f t="shared" si="13"/>
        <v>96787197.3329992</v>
      </c>
      <c r="P27" s="141">
        <f t="shared" si="13"/>
        <v>161643549.93793112</v>
      </c>
      <c r="Q27" s="141">
        <f t="shared" si="13"/>
        <v>125623040.46760063</v>
      </c>
      <c r="R27" s="141">
        <f t="shared" si="13"/>
        <v>236674693.17004934</v>
      </c>
      <c r="S27" s="141">
        <f t="shared" si="13"/>
        <v>109720230.40428826</v>
      </c>
      <c r="T27" s="141">
        <f t="shared" si="13"/>
        <v>165766328.21290761</v>
      </c>
      <c r="U27" s="141">
        <f t="shared" si="13"/>
        <v>141424592.08462393</v>
      </c>
      <c r="V27" s="141">
        <f t="shared" si="13"/>
        <v>215075094.8759023</v>
      </c>
      <c r="W27" s="141">
        <f t="shared" si="13"/>
        <v>91517695.911288396</v>
      </c>
      <c r="X27" s="141">
        <f t="shared" si="13"/>
        <v>148077212.4821766</v>
      </c>
      <c r="Y27" s="141">
        <f t="shared" si="13"/>
        <v>88386699.700350896</v>
      </c>
      <c r="Z27" s="141">
        <f t="shared" si="13"/>
        <v>143834681.23184091</v>
      </c>
      <c r="AA27" s="141">
        <f t="shared" si="13"/>
        <v>72100288.5</v>
      </c>
      <c r="AB27" s="141">
        <f t="shared" si="13"/>
        <v>73025319.75</v>
      </c>
      <c r="AC27" s="141">
        <f t="shared" si="13"/>
        <v>73950351</v>
      </c>
    </row>
    <row r="29" spans="1:29" ht="15">
      <c r="A29" s="42" t="s">
        <v>156</v>
      </c>
      <c r="G29" s="127">
        <f>G18+G27</f>
        <v>670987678.9952842</v>
      </c>
      <c r="H29" s="127">
        <f t="shared" ref="H29:AC29" si="14">H18+H27</f>
        <v>732411370.61468577</v>
      </c>
      <c r="I29" s="127">
        <f t="shared" si="14"/>
        <v>670204957.06620634</v>
      </c>
      <c r="J29" s="127">
        <f t="shared" si="14"/>
        <v>724596317.4905864</v>
      </c>
      <c r="K29" s="127">
        <f t="shared" si="14"/>
        <v>555067659.50424254</v>
      </c>
      <c r="L29" s="127">
        <f t="shared" si="14"/>
        <v>575599531.58821619</v>
      </c>
      <c r="M29" s="127">
        <f t="shared" si="14"/>
        <v>1207224325.8431973</v>
      </c>
      <c r="N29" s="127">
        <f t="shared" si="14"/>
        <v>1142301537.9149628</v>
      </c>
      <c r="O29" s="127">
        <f t="shared" si="14"/>
        <v>925974056.9955405</v>
      </c>
      <c r="P29" s="127">
        <f t="shared" si="14"/>
        <v>975128682.3166008</v>
      </c>
      <c r="Q29" s="127">
        <f t="shared" si="14"/>
        <v>1031768193.9755578</v>
      </c>
      <c r="R29" s="127">
        <f t="shared" si="14"/>
        <v>1125105388.7476678</v>
      </c>
      <c r="S29" s="127">
        <f t="shared" si="14"/>
        <v>1056134951.8294362</v>
      </c>
      <c r="T29" s="127">
        <f t="shared" si="14"/>
        <v>1073636855.6967156</v>
      </c>
      <c r="U29" s="127">
        <f t="shared" si="14"/>
        <v>1273950870.7923102</v>
      </c>
      <c r="V29" s="127">
        <f t="shared" si="14"/>
        <v>1334339032.9390316</v>
      </c>
      <c r="W29" s="127">
        <f t="shared" si="14"/>
        <v>711639268.17978787</v>
      </c>
      <c r="X29" s="127">
        <f t="shared" si="14"/>
        <v>752330570.57636046</v>
      </c>
      <c r="Y29" s="127">
        <f t="shared" si="14"/>
        <v>611882033.35022402</v>
      </c>
      <c r="Z29" s="127">
        <f t="shared" si="14"/>
        <v>653711295.89339948</v>
      </c>
      <c r="AA29" s="127">
        <f t="shared" si="14"/>
        <v>455106886.56078476</v>
      </c>
      <c r="AB29" s="127">
        <f t="shared" si="14"/>
        <v>501536198.06137884</v>
      </c>
      <c r="AC29" s="127">
        <f t="shared" si="14"/>
        <v>548223962.37840748</v>
      </c>
    </row>
    <row r="30" spans="1:29">
      <c r="A30" t="s">
        <v>157</v>
      </c>
      <c r="G30" s="127">
        <f>G29/G11/1000</f>
        <v>1966.6177640495519</v>
      </c>
      <c r="H30" s="127">
        <f t="shared" ref="H30:AC30" si="15">H29/H11/1000</f>
        <v>2146.6462904348564</v>
      </c>
      <c r="I30" s="127">
        <f t="shared" si="15"/>
        <v>1927.1331543683007</v>
      </c>
      <c r="J30" s="127">
        <f t="shared" si="15"/>
        <v>2083.5321676550138</v>
      </c>
      <c r="K30" s="127">
        <f t="shared" si="15"/>
        <v>2149.4190482613303</v>
      </c>
      <c r="L30" s="127">
        <f t="shared" si="15"/>
        <v>2228.3906400402202</v>
      </c>
      <c r="M30" s="127">
        <f t="shared" si="15"/>
        <v>3175.0192394744699</v>
      </c>
      <c r="N30" s="127">
        <f t="shared" si="15"/>
        <v>3004.2712713132987</v>
      </c>
      <c r="O30" s="127">
        <f t="shared" si="15"/>
        <v>3506.3976930763379</v>
      </c>
      <c r="P30" s="127">
        <f t="shared" si="15"/>
        <v>3692.4621557956793</v>
      </c>
      <c r="Q30" s="127">
        <f t="shared" si="15"/>
        <v>2896.4571585293193</v>
      </c>
      <c r="R30" s="127">
        <f t="shared" si="15"/>
        <v>3158.4359649040352</v>
      </c>
      <c r="S30" s="127">
        <f t="shared" si="15"/>
        <v>2711.4235013138546</v>
      </c>
      <c r="T30" s="127">
        <f t="shared" si="15"/>
        <v>2755.8752117843351</v>
      </c>
      <c r="U30" s="127">
        <f t="shared" si="15"/>
        <v>2603.7943226452307</v>
      </c>
      <c r="V30" s="127">
        <f t="shared" si="15"/>
        <v>2727.1921847182975</v>
      </c>
      <c r="W30" s="127">
        <f t="shared" si="15"/>
        <v>2895.6297253559796</v>
      </c>
      <c r="X30" s="127">
        <f t="shared" si="15"/>
        <v>3061.2008932938302</v>
      </c>
      <c r="Y30" s="127">
        <f t="shared" si="15"/>
        <v>2814.4413402283317</v>
      </c>
      <c r="Z30" s="127">
        <f t="shared" si="15"/>
        <v>3006.8411809103582</v>
      </c>
      <c r="AA30" s="127">
        <f t="shared" si="15"/>
        <v>2275.5344328039237</v>
      </c>
      <c r="AB30" s="127">
        <f t="shared" si="15"/>
        <v>2507.6809903068943</v>
      </c>
      <c r="AC30" s="127">
        <f t="shared" si="15"/>
        <v>2741.1198118920374</v>
      </c>
    </row>
    <row r="31" spans="1:29">
      <c r="A31" t="s">
        <v>158</v>
      </c>
      <c r="B31" t="s">
        <v>159</v>
      </c>
      <c r="G31" s="148">
        <f t="shared" ref="G31:AC31" si="16">PMT(WACC, AMortisationPeriod_Years,-1*G29)*TiltFactor</f>
        <v>92539681.058046386</v>
      </c>
      <c r="H31" s="148">
        <f t="shared" si="16"/>
        <v>101010967.50607544</v>
      </c>
      <c r="I31" s="148">
        <f t="shared" si="16"/>
        <v>92431731.478730008</v>
      </c>
      <c r="J31" s="148">
        <f t="shared" si="16"/>
        <v>99933149.617319643</v>
      </c>
      <c r="K31" s="148">
        <f t="shared" si="16"/>
        <v>76552499.820968986</v>
      </c>
      <c r="L31" s="148">
        <f t="shared" si="16"/>
        <v>79384165.667681038</v>
      </c>
      <c r="M31" s="148">
        <f t="shared" si="16"/>
        <v>166495090.11301786</v>
      </c>
      <c r="N31" s="148">
        <f t="shared" si="16"/>
        <v>157541223.63178214</v>
      </c>
      <c r="O31" s="148">
        <f t="shared" si="16"/>
        <v>127706285.20437379</v>
      </c>
      <c r="P31" s="148">
        <f t="shared" si="16"/>
        <v>134485475.77989951</v>
      </c>
      <c r="Q31" s="148">
        <f t="shared" si="16"/>
        <v>142296949.08750433</v>
      </c>
      <c r="R31" s="148">
        <f t="shared" si="16"/>
        <v>155169606.07577744</v>
      </c>
      <c r="S31" s="148">
        <f t="shared" si="16"/>
        <v>145657505.57878441</v>
      </c>
      <c r="T31" s="148">
        <f t="shared" si="16"/>
        <v>148071291.48348504</v>
      </c>
      <c r="U31" s="148">
        <f t="shared" si="16"/>
        <v>175697722.86022767</v>
      </c>
      <c r="V31" s="148">
        <f t="shared" si="16"/>
        <v>184026193.62008861</v>
      </c>
      <c r="W31" s="148">
        <f t="shared" si="16"/>
        <v>98146170.141824529</v>
      </c>
      <c r="X31" s="148">
        <f t="shared" si="16"/>
        <v>103758136.29782575</v>
      </c>
      <c r="Y31" s="148">
        <f t="shared" si="16"/>
        <v>84388089.355328664</v>
      </c>
      <c r="Z31" s="148">
        <f t="shared" si="16"/>
        <v>90156997.989291742</v>
      </c>
      <c r="AA31" s="148">
        <f t="shared" si="16"/>
        <v>62766347.949515045</v>
      </c>
      <c r="AB31" s="148">
        <f t="shared" si="16"/>
        <v>69169675.182651699</v>
      </c>
      <c r="AC31" s="148">
        <f t="shared" si="16"/>
        <v>75608647.095936924</v>
      </c>
    </row>
    <row r="32" spans="1:29">
      <c r="B32" t="s">
        <v>160</v>
      </c>
      <c r="G32" s="148">
        <f t="shared" ref="G32:AC32" si="17">PMT(WACC, AMortisationPeriod_Years,-1*G30)*TiltFactor*1000</f>
        <v>271227.30617161281</v>
      </c>
      <c r="H32" s="148">
        <f t="shared" si="17"/>
        <v>296056.05181712459</v>
      </c>
      <c r="I32" s="148">
        <f t="shared" si="17"/>
        <v>265781.76178833051</v>
      </c>
      <c r="J32" s="148">
        <f t="shared" si="17"/>
        <v>287351.62850930693</v>
      </c>
      <c r="K32" s="148">
        <f t="shared" si="17"/>
        <v>296438.45842896774</v>
      </c>
      <c r="L32" s="148">
        <f t="shared" si="17"/>
        <v>307329.87438880693</v>
      </c>
      <c r="M32" s="148">
        <f t="shared" si="17"/>
        <v>437884.74359779328</v>
      </c>
      <c r="N32" s="148">
        <f t="shared" si="17"/>
        <v>414335.93188398634</v>
      </c>
      <c r="O32" s="148">
        <f t="shared" si="17"/>
        <v>483587.00813377288</v>
      </c>
      <c r="P32" s="148">
        <f t="shared" si="17"/>
        <v>509248.20367475034</v>
      </c>
      <c r="Q32" s="148">
        <f t="shared" si="17"/>
        <v>399466.68178758363</v>
      </c>
      <c r="R32" s="148">
        <f t="shared" si="17"/>
        <v>435597.65102115471</v>
      </c>
      <c r="S32" s="148">
        <f t="shared" si="17"/>
        <v>373947.65042569273</v>
      </c>
      <c r="T32" s="148">
        <f t="shared" si="17"/>
        <v>380078.23558872048</v>
      </c>
      <c r="U32" s="148">
        <f t="shared" si="17"/>
        <v>359103.90563227469</v>
      </c>
      <c r="V32" s="148">
        <f t="shared" si="17"/>
        <v>376122.39815748046</v>
      </c>
      <c r="W32" s="148">
        <f t="shared" si="17"/>
        <v>399352.56582934072</v>
      </c>
      <c r="X32" s="148">
        <f t="shared" si="17"/>
        <v>422187.41593615559</v>
      </c>
      <c r="Y32" s="148">
        <f t="shared" si="17"/>
        <v>388155.41944271803</v>
      </c>
      <c r="Z32" s="148">
        <f t="shared" si="17"/>
        <v>414690.36255671643</v>
      </c>
      <c r="AA32" s="148">
        <f t="shared" si="17"/>
        <v>313831.73974757519</v>
      </c>
      <c r="AB32" s="148">
        <f t="shared" si="17"/>
        <v>345848.37591325853</v>
      </c>
      <c r="AC32" s="148">
        <f t="shared" si="17"/>
        <v>378043.2354796846</v>
      </c>
    </row>
    <row r="33" spans="1:29">
      <c r="A33" t="s">
        <v>161</v>
      </c>
      <c r="B33" t="s">
        <v>160</v>
      </c>
      <c r="G33" s="148">
        <f t="shared" ref="G33:AC33" si="18">((1+WACC)^0.5-1)*G32</f>
        <v>14335.248994732852</v>
      </c>
      <c r="H33" s="148">
        <f t="shared" si="18"/>
        <v>15647.529296001989</v>
      </c>
      <c r="I33" s="148">
        <f t="shared" si="18"/>
        <v>14047.43418822208</v>
      </c>
      <c r="J33" s="148">
        <f t="shared" si="18"/>
        <v>15187.472094408242</v>
      </c>
      <c r="K33" s="148">
        <f t="shared" si="18"/>
        <v>15667.740734427496</v>
      </c>
      <c r="L33" s="148">
        <f t="shared" si="18"/>
        <v>16243.387640682258</v>
      </c>
      <c r="M33" s="148">
        <f t="shared" si="18"/>
        <v>23143.638887514422</v>
      </c>
      <c r="N33" s="148">
        <f t="shared" si="18"/>
        <v>21899.007274966127</v>
      </c>
      <c r="O33" s="148">
        <f t="shared" si="18"/>
        <v>25559.152837765003</v>
      </c>
      <c r="P33" s="148">
        <f t="shared" si="18"/>
        <v>26915.430834898838</v>
      </c>
      <c r="Q33" s="148">
        <f t="shared" si="18"/>
        <v>21113.118842471726</v>
      </c>
      <c r="R33" s="148">
        <f t="shared" si="18"/>
        <v>23022.758574898056</v>
      </c>
      <c r="S33" s="148">
        <f t="shared" si="18"/>
        <v>19764.354686529266</v>
      </c>
      <c r="T33" s="148">
        <f t="shared" si="18"/>
        <v>20088.376135681629</v>
      </c>
      <c r="U33" s="148">
        <f t="shared" si="18"/>
        <v>18979.81429260123</v>
      </c>
      <c r="V33" s="148">
        <f t="shared" si="18"/>
        <v>19879.297207162428</v>
      </c>
      <c r="W33" s="148">
        <f t="shared" si="18"/>
        <v>21107.087441361065</v>
      </c>
      <c r="X33" s="148">
        <f t="shared" si="18"/>
        <v>22313.983851088611</v>
      </c>
      <c r="Y33" s="148">
        <f t="shared" si="18"/>
        <v>20515.281683495567</v>
      </c>
      <c r="Z33" s="148">
        <f t="shared" si="18"/>
        <v>21917.740093636465</v>
      </c>
      <c r="AA33" s="148">
        <f t="shared" si="18"/>
        <v>16587.032460828785</v>
      </c>
      <c r="AB33" s="148">
        <f t="shared" si="18"/>
        <v>18279.216252671777</v>
      </c>
      <c r="AC33" s="148">
        <f t="shared" si="18"/>
        <v>19980.819733344764</v>
      </c>
    </row>
    <row r="36" spans="1:29" ht="15">
      <c r="A36" s="42" t="s">
        <v>162</v>
      </c>
    </row>
    <row r="37" spans="1:29" ht="15">
      <c r="A37" s="136" t="s">
        <v>163</v>
      </c>
      <c r="G37" s="127">
        <f t="shared" ref="G37:AC37" si="19">VLOOKUP(G9,IASR_FOMTable_DollarPerkWPerY,2,FALSE)*1000</f>
        <v>14323.407800000001</v>
      </c>
      <c r="H37" s="127">
        <f t="shared" si="19"/>
        <v>14323.407800000001</v>
      </c>
      <c r="I37" s="127">
        <f t="shared" si="19"/>
        <v>14323.407800000001</v>
      </c>
      <c r="J37" s="127">
        <f t="shared" si="19"/>
        <v>14323.407800000001</v>
      </c>
      <c r="K37" s="127">
        <f t="shared" si="19"/>
        <v>14323.407800000001</v>
      </c>
      <c r="L37" s="127">
        <f t="shared" si="19"/>
        <v>14323.407800000001</v>
      </c>
      <c r="M37" s="127">
        <f t="shared" si="19"/>
        <v>17685.8344</v>
      </c>
      <c r="N37" s="127">
        <f t="shared" si="19"/>
        <v>17685.8344</v>
      </c>
      <c r="O37" s="127">
        <f t="shared" si="19"/>
        <v>17685.8344</v>
      </c>
      <c r="P37" s="127">
        <f t="shared" si="19"/>
        <v>17685.8344</v>
      </c>
      <c r="Q37" s="127">
        <f t="shared" si="19"/>
        <v>17685.8344</v>
      </c>
      <c r="R37" s="127">
        <f t="shared" si="19"/>
        <v>17685.8344</v>
      </c>
      <c r="S37" s="127">
        <f t="shared" si="19"/>
        <v>14323.407800000001</v>
      </c>
      <c r="T37" s="127">
        <f t="shared" si="19"/>
        <v>15303.0124</v>
      </c>
      <c r="U37" s="127">
        <f t="shared" si="19"/>
        <v>15303.0124</v>
      </c>
      <c r="V37" s="127">
        <f t="shared" si="19"/>
        <v>15303.0124</v>
      </c>
      <c r="W37" s="127">
        <f t="shared" si="19"/>
        <v>29400</v>
      </c>
      <c r="X37" s="127">
        <f t="shared" si="19"/>
        <v>29400</v>
      </c>
      <c r="Y37" s="127">
        <f t="shared" si="19"/>
        <v>29400</v>
      </c>
      <c r="Z37" s="127">
        <f t="shared" si="19"/>
        <v>29400</v>
      </c>
      <c r="AA37" s="127">
        <f t="shared" si="19"/>
        <v>29785.274999999998</v>
      </c>
      <c r="AB37" s="127">
        <f t="shared" si="19"/>
        <v>33883.932500000003</v>
      </c>
      <c r="AC37" s="127">
        <f t="shared" si="19"/>
        <v>37982.590000000004</v>
      </c>
    </row>
    <row r="38" spans="1:29" ht="15">
      <c r="A38" s="136" t="s">
        <v>164</v>
      </c>
      <c r="G38" s="127">
        <f t="shared" ref="G38" si="20">G23*FOMFactor_ElecConn/G11</f>
        <v>608.17088763129391</v>
      </c>
      <c r="H38" s="127">
        <f t="shared" ref="H38:AC38" si="21">H23*FOMFactor_ElecConn/H11</f>
        <v>608.17088763129391</v>
      </c>
      <c r="I38" s="127">
        <f t="shared" si="21"/>
        <v>596.65639849393995</v>
      </c>
      <c r="J38" s="127">
        <f t="shared" si="21"/>
        <v>596.65639849393995</v>
      </c>
      <c r="K38" s="127">
        <f t="shared" si="21"/>
        <v>514.05708696514341</v>
      </c>
      <c r="L38" s="127">
        <f t="shared" si="21"/>
        <v>513.93367535650123</v>
      </c>
      <c r="M38" s="127">
        <f t="shared" si="21"/>
        <v>545.73096719222042</v>
      </c>
      <c r="N38" s="127">
        <f t="shared" si="21"/>
        <v>545.73096719222042</v>
      </c>
      <c r="O38" s="127">
        <f t="shared" si="21"/>
        <v>502.6880191406492</v>
      </c>
      <c r="P38" s="127">
        <f t="shared" si="21"/>
        <v>502.67849235114255</v>
      </c>
      <c r="Q38" s="127">
        <f t="shared" si="21"/>
        <v>582.51241831825826</v>
      </c>
      <c r="R38" s="127">
        <f t="shared" si="21"/>
        <v>582.50423408548488</v>
      </c>
      <c r="S38" s="127">
        <f t="shared" si="21"/>
        <v>340.81140714526077</v>
      </c>
      <c r="T38" s="127">
        <f t="shared" si="21"/>
        <v>340.75192570018959</v>
      </c>
      <c r="U38" s="127">
        <f t="shared" si="21"/>
        <v>424.10579887207729</v>
      </c>
      <c r="V38" s="127">
        <f t="shared" si="21"/>
        <v>424.10146059109553</v>
      </c>
      <c r="W38" s="127">
        <f t="shared" si="21"/>
        <v>540.15612336460345</v>
      </c>
      <c r="X38" s="127">
        <f t="shared" si="21"/>
        <v>540.15612336460345</v>
      </c>
      <c r="Y38" s="127">
        <f t="shared" si="21"/>
        <v>610.60545798758426</v>
      </c>
      <c r="Z38" s="127">
        <f t="shared" si="21"/>
        <v>610.60545798758426</v>
      </c>
      <c r="AA38" s="127">
        <f t="shared" si="21"/>
        <v>663.75252499999999</v>
      </c>
      <c r="AB38" s="127">
        <f t="shared" si="21"/>
        <v>663.75252499999999</v>
      </c>
      <c r="AC38" s="127">
        <f t="shared" si="21"/>
        <v>663.75252499999999</v>
      </c>
    </row>
    <row r="39" spans="1:29" ht="15">
      <c r="A39" s="136" t="s">
        <v>165</v>
      </c>
      <c r="G39" s="127">
        <f t="shared" ref="G39:AC39" si="22">HLOOKUP(G$8,ConfigParamsTable,ConfigRow_TUOSTotal_Millions,FALSE)*1000000/G$11</f>
        <v>8981.8790060531774</v>
      </c>
      <c r="H39" s="127">
        <f t="shared" si="22"/>
        <v>8981.8790060531774</v>
      </c>
      <c r="I39" s="127">
        <f t="shared" si="22"/>
        <v>8981.3877139601154</v>
      </c>
      <c r="J39" s="127">
        <f t="shared" si="22"/>
        <v>8981.3877139601154</v>
      </c>
      <c r="K39" s="127">
        <f t="shared" si="22"/>
        <v>8990.2139208758726</v>
      </c>
      <c r="L39" s="127">
        <f t="shared" si="22"/>
        <v>8990.205690206687</v>
      </c>
      <c r="M39" s="127">
        <f t="shared" si="22"/>
        <v>8979.2148636116617</v>
      </c>
      <c r="N39" s="127">
        <f t="shared" si="22"/>
        <v>8979.2148636116617</v>
      </c>
      <c r="O39" s="127">
        <f t="shared" si="22"/>
        <v>8989.455685591096</v>
      </c>
      <c r="P39" s="127">
        <f t="shared" si="22"/>
        <v>8989.4550502225629</v>
      </c>
      <c r="Q39" s="127">
        <f t="shared" si="22"/>
        <v>8980.7842285998995</v>
      </c>
      <c r="R39" s="127">
        <f t="shared" si="22"/>
        <v>8980.783879400833</v>
      </c>
      <c r="S39" s="127">
        <f t="shared" si="22"/>
        <v>8978.6596765523554</v>
      </c>
      <c r="T39" s="127">
        <f t="shared" si="22"/>
        <v>8978.6557095665685</v>
      </c>
      <c r="U39" s="127">
        <f t="shared" si="22"/>
        <v>8974.025446799471</v>
      </c>
      <c r="V39" s="127">
        <f t="shared" si="22"/>
        <v>8974.0252616967609</v>
      </c>
      <c r="W39" s="127">
        <f t="shared" si="22"/>
        <v>8991.9545394210581</v>
      </c>
      <c r="X39" s="127">
        <f t="shared" si="22"/>
        <v>8991.9545394210581</v>
      </c>
      <c r="Y39" s="127">
        <f t="shared" si="22"/>
        <v>8996.6530047767883</v>
      </c>
      <c r="Z39" s="127">
        <f t="shared" si="22"/>
        <v>8996.6530047767883</v>
      </c>
      <c r="AA39" s="127">
        <f t="shared" si="22"/>
        <v>9000.1975329750003</v>
      </c>
      <c r="AB39" s="127">
        <f t="shared" si="22"/>
        <v>9000.1975329750003</v>
      </c>
      <c r="AC39" s="127">
        <f t="shared" si="22"/>
        <v>9000.1975329750003</v>
      </c>
    </row>
    <row r="40" spans="1:29" ht="15">
      <c r="A40" s="136" t="s">
        <v>166</v>
      </c>
      <c r="G40" s="127">
        <f t="shared" ref="G40:AC40" si="23">HLOOKUP(G$8,ConfigParamsTable,ConfigRow_DBNGPTariff_MillionsPerYear,FALSE)/G$11*1000000</f>
        <v>0</v>
      </c>
      <c r="H40" s="127">
        <f t="shared" si="23"/>
        <v>100599.66298080602</v>
      </c>
      <c r="I40" s="127">
        <f t="shared" si="23"/>
        <v>0</v>
      </c>
      <c r="J40" s="127">
        <f t="shared" si="23"/>
        <v>103544.24425319485</v>
      </c>
      <c r="K40" s="127">
        <f t="shared" si="23"/>
        <v>0</v>
      </c>
      <c r="L40" s="127">
        <f t="shared" si="23"/>
        <v>98921.457570318787</v>
      </c>
      <c r="M40" s="127">
        <f t="shared" si="23"/>
        <v>96697.578007955221</v>
      </c>
      <c r="N40" s="127">
        <f t="shared" si="23"/>
        <v>0</v>
      </c>
      <c r="O40" s="127">
        <f t="shared" si="23"/>
        <v>0</v>
      </c>
      <c r="P40" s="127">
        <f t="shared" si="23"/>
        <v>92455.733657521065</v>
      </c>
      <c r="Q40" s="127">
        <f t="shared" si="23"/>
        <v>0</v>
      </c>
      <c r="R40" s="127">
        <f t="shared" si="23"/>
        <v>89778.841591713106</v>
      </c>
      <c r="S40" s="127">
        <f t="shared" si="23"/>
        <v>0</v>
      </c>
      <c r="T40" s="127">
        <f t="shared" si="23"/>
        <v>65048.477199133413</v>
      </c>
      <c r="U40" s="127">
        <f t="shared" si="23"/>
        <v>0</v>
      </c>
      <c r="V40" s="127">
        <f t="shared" si="23"/>
        <v>70196.34655645641</v>
      </c>
      <c r="W40" s="127">
        <f t="shared" si="23"/>
        <v>0</v>
      </c>
      <c r="X40" s="127">
        <f t="shared" si="23"/>
        <v>80677.408567966064</v>
      </c>
      <c r="Y40" s="127">
        <f t="shared" si="23"/>
        <v>0</v>
      </c>
      <c r="Z40" s="127">
        <f t="shared" si="23"/>
        <v>81006.872206834756</v>
      </c>
      <c r="AA40" s="127">
        <f t="shared" si="23"/>
        <v>0</v>
      </c>
      <c r="AB40" s="127">
        <f t="shared" si="23"/>
        <v>0</v>
      </c>
      <c r="AC40" s="127">
        <f t="shared" si="23"/>
        <v>0</v>
      </c>
    </row>
    <row r="41" spans="1:29" ht="15">
      <c r="A41" s="136" t="s">
        <v>167</v>
      </c>
      <c r="G41" s="127">
        <f t="shared" ref="G41" si="24">G25*FOMFactor_GasConn/G11</f>
        <v>210.98073444373719</v>
      </c>
      <c r="H41" s="127">
        <f t="shared" ref="H41:AC41" si="25">H25*FOMFactor_GasConn/H11</f>
        <v>752.02047022463046</v>
      </c>
      <c r="I41" s="127">
        <f t="shared" si="25"/>
        <v>206.98623976411653</v>
      </c>
      <c r="J41" s="127">
        <f t="shared" si="25"/>
        <v>687.09112964609994</v>
      </c>
      <c r="K41" s="127">
        <f t="shared" si="25"/>
        <v>213.90182724381569</v>
      </c>
      <c r="L41" s="127">
        <f t="shared" si="25"/>
        <v>761.87086708148763</v>
      </c>
      <c r="M41" s="127">
        <f t="shared" si="25"/>
        <v>776.91260020306925</v>
      </c>
      <c r="N41" s="127">
        <f t="shared" si="25"/>
        <v>189.31968400419228</v>
      </c>
      <c r="O41" s="127">
        <f t="shared" si="25"/>
        <v>209.17109899712375</v>
      </c>
      <c r="P41" s="127">
        <f t="shared" si="25"/>
        <v>825.57854753700974</v>
      </c>
      <c r="Q41" s="127">
        <f t="shared" si="25"/>
        <v>178.57415109149386</v>
      </c>
      <c r="R41" s="127">
        <f t="shared" si="25"/>
        <v>961.22778325879403</v>
      </c>
      <c r="S41" s="127">
        <f t="shared" si="25"/>
        <v>141.8133989053446</v>
      </c>
      <c r="T41" s="127">
        <f t="shared" si="25"/>
        <v>504.41568313706722</v>
      </c>
      <c r="U41" s="127">
        <f t="shared" si="25"/>
        <v>147.12666250168365</v>
      </c>
      <c r="V41" s="127">
        <f t="shared" si="25"/>
        <v>524.72911167475377</v>
      </c>
      <c r="W41" s="127">
        <f t="shared" si="25"/>
        <v>190.69227434973055</v>
      </c>
      <c r="X41" s="127">
        <f t="shared" si="25"/>
        <v>769.40906152843775</v>
      </c>
      <c r="Y41" s="127">
        <f t="shared" si="25"/>
        <v>215.56312791332783</v>
      </c>
      <c r="Z41" s="127">
        <f t="shared" si="25"/>
        <v>856.04568801940025</v>
      </c>
      <c r="AA41" s="127">
        <f t="shared" si="25"/>
        <v>0</v>
      </c>
      <c r="AB41" s="127">
        <f t="shared" si="25"/>
        <v>0</v>
      </c>
      <c r="AC41" s="127">
        <f t="shared" si="25"/>
        <v>0</v>
      </c>
    </row>
    <row r="42" spans="1:29" ht="15">
      <c r="A42" s="136" t="s">
        <v>121</v>
      </c>
      <c r="G42" s="127">
        <f t="shared" ref="G42:AC42" si="26">HLOOKUP(G$8,ConfigParamsTable,ConfigRow_WC_MillionsPerYear,FALSE)*1000000/G$11</f>
        <v>1748.2452128155471</v>
      </c>
      <c r="H42" s="127">
        <f t="shared" si="26"/>
        <v>2026.5912009501462</v>
      </c>
      <c r="I42" s="127">
        <f t="shared" si="26"/>
        <v>1783.461658760913</v>
      </c>
      <c r="J42" s="127">
        <f t="shared" si="26"/>
        <v>2069.0336087116361</v>
      </c>
      <c r="K42" s="127">
        <f t="shared" si="26"/>
        <v>1752.2469016770324</v>
      </c>
      <c r="L42" s="127">
        <f t="shared" si="26"/>
        <v>2021.2058103009304</v>
      </c>
      <c r="M42" s="127">
        <f t="shared" si="26"/>
        <v>2046.91993107961</v>
      </c>
      <c r="N42" s="127">
        <f t="shared" si="26"/>
        <v>1779.9243512044784</v>
      </c>
      <c r="O42" s="127">
        <f t="shared" si="26"/>
        <v>1767.1459448279409</v>
      </c>
      <c r="P42" s="127">
        <f t="shared" si="26"/>
        <v>2023.1897514012499</v>
      </c>
      <c r="Q42" s="127">
        <f t="shared" si="26"/>
        <v>1691.3122862170751</v>
      </c>
      <c r="R42" s="127">
        <f t="shared" si="26"/>
        <v>1942.4493565934388</v>
      </c>
      <c r="S42" s="127">
        <f t="shared" si="26"/>
        <v>1311.3620479715469</v>
      </c>
      <c r="T42" s="127">
        <f t="shared" si="26"/>
        <v>1500.8100355285685</v>
      </c>
      <c r="U42" s="127">
        <f t="shared" si="26"/>
        <v>1376.2976924257043</v>
      </c>
      <c r="V42" s="127">
        <f t="shared" si="26"/>
        <v>1570.3888649478415</v>
      </c>
      <c r="W42" s="127">
        <f t="shared" si="26"/>
        <v>1752.723534747252</v>
      </c>
      <c r="X42" s="127">
        <f t="shared" si="26"/>
        <v>1975.8147775250586</v>
      </c>
      <c r="Y42" s="127">
        <f t="shared" si="26"/>
        <v>1763.8338524904373</v>
      </c>
      <c r="Z42" s="127">
        <f t="shared" si="26"/>
        <v>1988.8711926580916</v>
      </c>
      <c r="AA42" s="127">
        <f t="shared" si="26"/>
        <v>724.18425576067796</v>
      </c>
      <c r="AB42" s="127">
        <f t="shared" si="26"/>
        <v>791.60352257321074</v>
      </c>
      <c r="AC42" s="127">
        <f t="shared" si="26"/>
        <v>859.07461262501397</v>
      </c>
    </row>
    <row r="43" spans="1:29" ht="15">
      <c r="A43" s="136" t="s">
        <v>168</v>
      </c>
      <c r="G43" s="127">
        <f t="shared" ref="G43:AC43" si="27">CorporateOVerhead_DollarsPerYear/G11</f>
        <v>3847.9444225304492</v>
      </c>
      <c r="H43" s="127">
        <f t="shared" si="27"/>
        <v>3847.9444225304492</v>
      </c>
      <c r="I43" s="127">
        <f t="shared" si="27"/>
        <v>3775.0913558094553</v>
      </c>
      <c r="J43" s="127">
        <f t="shared" si="27"/>
        <v>3775.0913558094553</v>
      </c>
      <c r="K43" s="127">
        <f t="shared" si="27"/>
        <v>5083.9181218132662</v>
      </c>
      <c r="L43" s="127">
        <f t="shared" si="27"/>
        <v>5082.697606564032</v>
      </c>
      <c r="M43" s="127">
        <f t="shared" si="27"/>
        <v>3452.8821982721256</v>
      </c>
      <c r="N43" s="127">
        <f t="shared" si="27"/>
        <v>3452.8821982721256</v>
      </c>
      <c r="O43" s="127">
        <f t="shared" si="27"/>
        <v>4971.4803957188697</v>
      </c>
      <c r="P43" s="127">
        <f t="shared" si="27"/>
        <v>4971.3861777437778</v>
      </c>
      <c r="Q43" s="127">
        <f t="shared" si="27"/>
        <v>3685.6012951434946</v>
      </c>
      <c r="R43" s="127">
        <f t="shared" si="27"/>
        <v>3685.5495128673392</v>
      </c>
      <c r="S43" s="127">
        <f t="shared" si="27"/>
        <v>3370.5542299506446</v>
      </c>
      <c r="T43" s="127">
        <f t="shared" si="27"/>
        <v>3369.9659707783135</v>
      </c>
      <c r="U43" s="127">
        <f t="shared" si="27"/>
        <v>2683.3503157125765</v>
      </c>
      <c r="V43" s="127">
        <f t="shared" si="27"/>
        <v>2683.3228670719941</v>
      </c>
      <c r="W43" s="127">
        <f t="shared" si="27"/>
        <v>5342.0321863355903</v>
      </c>
      <c r="X43" s="127">
        <f t="shared" si="27"/>
        <v>5342.0321863355903</v>
      </c>
      <c r="Y43" s="127">
        <f t="shared" si="27"/>
        <v>6038.7615147335955</v>
      </c>
      <c r="Z43" s="127">
        <f t="shared" si="27"/>
        <v>6038.7615147335955</v>
      </c>
      <c r="AA43" s="127">
        <f t="shared" si="27"/>
        <v>6564.375</v>
      </c>
      <c r="AB43" s="127">
        <f t="shared" si="27"/>
        <v>6564.375</v>
      </c>
      <c r="AC43" s="127">
        <f t="shared" si="27"/>
        <v>6564.375</v>
      </c>
    </row>
    <row r="44" spans="1:29" ht="15">
      <c r="A44" s="136" t="s">
        <v>55</v>
      </c>
      <c r="G44" s="127">
        <f t="shared" ref="G44:AC44" si="28">InsuranceAdjustment_PercentPerYear*G18/G11</f>
        <v>4793.2343835115125</v>
      </c>
      <c r="H44" s="127">
        <f t="shared" si="28"/>
        <v>4686.0149146369331</v>
      </c>
      <c r="I44" s="127">
        <f t="shared" si="28"/>
        <v>4690.4500807417908</v>
      </c>
      <c r="J44" s="127">
        <f t="shared" si="28"/>
        <v>4585.3854750207047</v>
      </c>
      <c r="K44" s="127">
        <f t="shared" si="28"/>
        <v>5335.5616708136486</v>
      </c>
      <c r="L44" s="127">
        <f t="shared" si="28"/>
        <v>4918.9770487137121</v>
      </c>
      <c r="M44" s="127">
        <f t="shared" si="28"/>
        <v>7791.2377945891385</v>
      </c>
      <c r="N44" s="127">
        <f t="shared" si="28"/>
        <v>7981.0632731005762</v>
      </c>
      <c r="O44" s="127">
        <f t="shared" si="28"/>
        <v>9419.6771601257187</v>
      </c>
      <c r="P44" s="127">
        <f t="shared" si="28"/>
        <v>9241.1282328646357</v>
      </c>
      <c r="Q44" s="127">
        <f t="shared" si="28"/>
        <v>7631.3961756228</v>
      </c>
      <c r="R44" s="127">
        <f t="shared" si="28"/>
        <v>7482.1029815538031</v>
      </c>
      <c r="S44" s="127">
        <f t="shared" si="28"/>
        <v>7289.2136934295186</v>
      </c>
      <c r="T44" s="127">
        <f t="shared" si="28"/>
        <v>6991.1288968705858</v>
      </c>
      <c r="U44" s="127">
        <f t="shared" si="28"/>
        <v>6944.2210740315559</v>
      </c>
      <c r="V44" s="127">
        <f t="shared" si="28"/>
        <v>6862.831235175885</v>
      </c>
      <c r="W44" s="127">
        <f t="shared" si="28"/>
        <v>7569.7444124521135</v>
      </c>
      <c r="X44" s="127">
        <f t="shared" si="28"/>
        <v>7376.0431594184411</v>
      </c>
      <c r="Y44" s="127">
        <f t="shared" si="28"/>
        <v>7223.6811744929482</v>
      </c>
      <c r="Z44" s="127">
        <f t="shared" si="28"/>
        <v>7035.7572759345803</v>
      </c>
      <c r="AA44" s="127">
        <f t="shared" si="28"/>
        <v>5745.0989709117721</v>
      </c>
      <c r="AB44" s="127">
        <f t="shared" si="28"/>
        <v>6427.6631746706835</v>
      </c>
      <c r="AC44" s="127">
        <f t="shared" si="28"/>
        <v>7114.1041706761125</v>
      </c>
    </row>
    <row r="45" spans="1:29">
      <c r="A45" t="s">
        <v>58</v>
      </c>
      <c r="G45" s="127">
        <f t="shared" ref="G45:AC45" si="29">SiteSecurity_DollarsPerYear/G11</f>
        <v>493.80304774478157</v>
      </c>
      <c r="H45" s="127">
        <f t="shared" si="29"/>
        <v>493.80304774478157</v>
      </c>
      <c r="I45" s="127">
        <f t="shared" si="29"/>
        <v>484.45388298716716</v>
      </c>
      <c r="J45" s="127">
        <f t="shared" si="29"/>
        <v>484.45388298716716</v>
      </c>
      <c r="K45" s="127">
        <f t="shared" si="29"/>
        <v>652.4143769689415</v>
      </c>
      <c r="L45" s="127">
        <f t="shared" si="29"/>
        <v>652.2577494079087</v>
      </c>
      <c r="M45" s="127">
        <f t="shared" si="29"/>
        <v>443.10508827183679</v>
      </c>
      <c r="N45" s="127">
        <f t="shared" si="29"/>
        <v>443.10508827183679</v>
      </c>
      <c r="O45" s="127">
        <f t="shared" si="29"/>
        <v>637.98535052515672</v>
      </c>
      <c r="P45" s="127">
        <f t="shared" si="29"/>
        <v>637.97325962202922</v>
      </c>
      <c r="Q45" s="127">
        <f t="shared" si="29"/>
        <v>472.96970862098522</v>
      </c>
      <c r="R45" s="127">
        <f t="shared" si="29"/>
        <v>472.96306345073924</v>
      </c>
      <c r="S45" s="127">
        <f t="shared" si="29"/>
        <v>432.54001840394903</v>
      </c>
      <c r="T45" s="127">
        <f t="shared" si="29"/>
        <v>432.46452766389052</v>
      </c>
      <c r="U45" s="127">
        <f t="shared" si="29"/>
        <v>344.35179372846221</v>
      </c>
      <c r="V45" s="127">
        <f t="shared" si="29"/>
        <v>344.34827127052426</v>
      </c>
      <c r="W45" s="127">
        <f t="shared" si="29"/>
        <v>685.53790936214057</v>
      </c>
      <c r="X45" s="127">
        <f t="shared" si="29"/>
        <v>685.53790936214057</v>
      </c>
      <c r="Y45" s="127">
        <f t="shared" si="29"/>
        <v>774.94852137660939</v>
      </c>
      <c r="Z45" s="127">
        <f t="shared" si="29"/>
        <v>774.94852137660939</v>
      </c>
      <c r="AA45" s="127">
        <f t="shared" si="29"/>
        <v>842.4</v>
      </c>
      <c r="AB45" s="127">
        <f t="shared" si="29"/>
        <v>842.4</v>
      </c>
      <c r="AC45" s="127">
        <f t="shared" si="29"/>
        <v>842.4</v>
      </c>
    </row>
    <row r="46" spans="1:29">
      <c r="A46" t="s">
        <v>60</v>
      </c>
      <c r="G46" s="127">
        <f t="shared" ref="G46:AC46" si="30">Rates_DollarsPerHectare*HLOOKUP(G$8,ConfigParamsTable,ConfigRow_LandAreaHa,FALSE)/G$11</f>
        <v>239.7509947357278</v>
      </c>
      <c r="H46" s="127">
        <f t="shared" si="30"/>
        <v>203.03076803270926</v>
      </c>
      <c r="I46" s="127">
        <f t="shared" si="30"/>
        <v>227.6920109679514</v>
      </c>
      <c r="J46" s="127">
        <f t="shared" si="30"/>
        <v>192.45396165148273</v>
      </c>
      <c r="K46" s="127">
        <f t="shared" si="30"/>
        <v>288.02776020627135</v>
      </c>
      <c r="L46" s="127">
        <f t="shared" si="30"/>
        <v>213.67329572024821</v>
      </c>
      <c r="M46" s="127">
        <f t="shared" si="30"/>
        <v>307.82863740223297</v>
      </c>
      <c r="N46" s="127">
        <f t="shared" si="30"/>
        <v>365.33157070756045</v>
      </c>
      <c r="O46" s="127">
        <f t="shared" si="30"/>
        <v>372.28092371281275</v>
      </c>
      <c r="P46" s="127">
        <f t="shared" si="30"/>
        <v>316.77247505558472</v>
      </c>
      <c r="Q46" s="127">
        <f t="shared" si="30"/>
        <v>486.58929990165637</v>
      </c>
      <c r="R46" s="127">
        <f t="shared" si="30"/>
        <v>411.97315232646321</v>
      </c>
      <c r="S46" s="127">
        <f t="shared" si="30"/>
        <v>309.1546990339566</v>
      </c>
      <c r="T46" s="127">
        <f t="shared" si="30"/>
        <v>240.7239116610572</v>
      </c>
      <c r="U46" s="127">
        <f t="shared" si="30"/>
        <v>255.44566863065117</v>
      </c>
      <c r="V46" s="127">
        <f t="shared" si="30"/>
        <v>226.4182607312604</v>
      </c>
      <c r="W46" s="127">
        <f t="shared" si="30"/>
        <v>379.61311020261223</v>
      </c>
      <c r="X46" s="127">
        <f t="shared" si="30"/>
        <v>303.14606258031284</v>
      </c>
      <c r="Y46" s="127">
        <f t="shared" si="30"/>
        <v>352.05493879822916</v>
      </c>
      <c r="Z46" s="127">
        <f t="shared" si="30"/>
        <v>286.73525011377427</v>
      </c>
      <c r="AA46" s="127">
        <f t="shared" si="30"/>
        <v>1573.667876712329</v>
      </c>
      <c r="AB46" s="127">
        <f t="shared" si="30"/>
        <v>1835.9458561643835</v>
      </c>
      <c r="AC46" s="127">
        <f t="shared" si="30"/>
        <v>2098.2238356164385</v>
      </c>
    </row>
    <row r="47" spans="1:29">
      <c r="A47" t="s">
        <v>169</v>
      </c>
      <c r="G47" s="141">
        <f>SUM(G37:G46)</f>
        <v>35247.416489466224</v>
      </c>
      <c r="H47" s="141">
        <f t="shared" ref="H47:AC47" si="31">SUM(H37:H46)</f>
        <v>136522.52549861016</v>
      </c>
      <c r="I47" s="141">
        <f t="shared" si="31"/>
        <v>35069.587141485448</v>
      </c>
      <c r="J47" s="141">
        <f t="shared" si="31"/>
        <v>139239.20557947544</v>
      </c>
      <c r="K47" s="141">
        <f t="shared" si="31"/>
        <v>37153.74946656399</v>
      </c>
      <c r="L47" s="141">
        <f t="shared" si="31"/>
        <v>136399.68711367028</v>
      </c>
      <c r="M47" s="141">
        <f t="shared" si="31"/>
        <v>138727.24448857713</v>
      </c>
      <c r="N47" s="141">
        <f t="shared" si="31"/>
        <v>41422.406396364648</v>
      </c>
      <c r="O47" s="141">
        <f t="shared" si="31"/>
        <v>44555.718978639372</v>
      </c>
      <c r="P47" s="141">
        <f t="shared" si="31"/>
        <v>137649.73004431906</v>
      </c>
      <c r="Q47" s="141">
        <f t="shared" si="31"/>
        <v>41395.573963515664</v>
      </c>
      <c r="R47" s="141">
        <f t="shared" si="31"/>
        <v>131984.22995524999</v>
      </c>
      <c r="S47" s="141">
        <f t="shared" si="31"/>
        <v>36497.516971392572</v>
      </c>
      <c r="T47" s="141">
        <f t="shared" si="31"/>
        <v>102710.40626003966</v>
      </c>
      <c r="U47" s="141">
        <f t="shared" si="31"/>
        <v>36451.93685270218</v>
      </c>
      <c r="V47" s="141">
        <f t="shared" si="31"/>
        <v>107109.52428961653</v>
      </c>
      <c r="W47" s="141">
        <f t="shared" si="31"/>
        <v>54852.4540902351</v>
      </c>
      <c r="X47" s="141">
        <f t="shared" si="31"/>
        <v>136061.50238750171</v>
      </c>
      <c r="Y47" s="141">
        <f t="shared" si="31"/>
        <v>55376.101592569532</v>
      </c>
      <c r="Z47" s="141">
        <f t="shared" si="31"/>
        <v>136995.25011243517</v>
      </c>
      <c r="AA47" s="141">
        <f t="shared" si="31"/>
        <v>54898.951161359779</v>
      </c>
      <c r="AB47" s="141">
        <f t="shared" si="31"/>
        <v>60009.870111383287</v>
      </c>
      <c r="AC47" s="141">
        <f t="shared" si="31"/>
        <v>65124.717676892571</v>
      </c>
    </row>
    <row r="49" spans="1:29">
      <c r="A49" t="s">
        <v>170</v>
      </c>
      <c r="B49" t="s">
        <v>160</v>
      </c>
      <c r="C49" s="139" t="str">
        <f>"$"&amp;YEAR(Date_Current)</f>
        <v>$2026</v>
      </c>
      <c r="G49" s="141">
        <f>G32+G33+G47</f>
        <v>320809.97165581188</v>
      </c>
      <c r="H49" s="141">
        <f t="shared" ref="H49:AC49" si="32">H32+H33+H47</f>
        <v>448226.10661173676</v>
      </c>
      <c r="I49" s="141">
        <f t="shared" si="32"/>
        <v>314898.78311803809</v>
      </c>
      <c r="J49" s="141">
        <f t="shared" si="32"/>
        <v>441778.30618319061</v>
      </c>
      <c r="K49" s="141">
        <f t="shared" si="32"/>
        <v>349259.9486299592</v>
      </c>
      <c r="L49" s="141">
        <f t="shared" si="32"/>
        <v>459972.94914315949</v>
      </c>
      <c r="M49" s="141">
        <f t="shared" si="32"/>
        <v>599755.62697388488</v>
      </c>
      <c r="N49" s="141">
        <f t="shared" si="32"/>
        <v>477657.34555531712</v>
      </c>
      <c r="O49" s="141">
        <f t="shared" si="32"/>
        <v>553701.87995017727</v>
      </c>
      <c r="P49" s="141">
        <f t="shared" si="32"/>
        <v>673813.36455396819</v>
      </c>
      <c r="Q49" s="141">
        <f t="shared" si="32"/>
        <v>461975.37459357106</v>
      </c>
      <c r="R49" s="141">
        <f t="shared" si="32"/>
        <v>590604.63955130277</v>
      </c>
      <c r="S49" s="141">
        <f t="shared" si="32"/>
        <v>430209.52208361455</v>
      </c>
      <c r="T49" s="141">
        <f t="shared" si="32"/>
        <v>502877.01798444177</v>
      </c>
      <c r="U49" s="141">
        <f t="shared" si="32"/>
        <v>414535.65677757811</v>
      </c>
      <c r="V49" s="141">
        <f t="shared" si="32"/>
        <v>503111.21965425939</v>
      </c>
      <c r="W49" s="141">
        <f t="shared" si="32"/>
        <v>475312.10736093688</v>
      </c>
      <c r="X49" s="141">
        <f t="shared" si="32"/>
        <v>580562.90217474592</v>
      </c>
      <c r="Y49" s="141">
        <f t="shared" si="32"/>
        <v>464046.80271878315</v>
      </c>
      <c r="Z49" s="141">
        <f t="shared" si="32"/>
        <v>573603.35276278807</v>
      </c>
      <c r="AA49" s="141">
        <f t="shared" si="32"/>
        <v>385317.72336976376</v>
      </c>
      <c r="AB49" s="141">
        <f t="shared" si="32"/>
        <v>424137.46227731358</v>
      </c>
      <c r="AC49" s="141">
        <f t="shared" si="32"/>
        <v>463148.77288992197</v>
      </c>
    </row>
    <row r="50" spans="1:29">
      <c r="A50" t="str">
        <f>"- escalate to $"&amp;YEAR(Date_BRCP)</f>
        <v>- escalate to $2029</v>
      </c>
      <c r="B50" t="s">
        <v>160</v>
      </c>
      <c r="G50" s="141">
        <f t="shared" ref="G50:AC50" si="33">G49*CPIIndex_BRCPDate/CPIIndex_CurrDate</f>
        <v>351366.76367942861</v>
      </c>
      <c r="H50" s="141">
        <f t="shared" si="33"/>
        <v>490919.14339173044</v>
      </c>
      <c r="I50" s="141">
        <f t="shared" si="33"/>
        <v>344892.54102576099</v>
      </c>
      <c r="J50" s="141">
        <f t="shared" si="33"/>
        <v>483857.19716313959</v>
      </c>
      <c r="K50" s="141">
        <f t="shared" si="33"/>
        <v>382526.56923212274</v>
      </c>
      <c r="L50" s="141">
        <f t="shared" si="33"/>
        <v>503784.85957385116</v>
      </c>
      <c r="M50" s="141">
        <f t="shared" si="33"/>
        <v>656881.68157825049</v>
      </c>
      <c r="N50" s="141">
        <f t="shared" si="33"/>
        <v>523153.67502211424</v>
      </c>
      <c r="O50" s="141">
        <f t="shared" si="33"/>
        <v>606441.36651101115</v>
      </c>
      <c r="P50" s="141">
        <f t="shared" si="33"/>
        <v>737993.33607149636</v>
      </c>
      <c r="Q50" s="141">
        <f t="shared" si="33"/>
        <v>505978.01381525147</v>
      </c>
      <c r="R50" s="141">
        <f t="shared" si="33"/>
        <v>646859.07280911435</v>
      </c>
      <c r="S50" s="141">
        <f t="shared" si="33"/>
        <v>471186.49927992304</v>
      </c>
      <c r="T50" s="141">
        <f t="shared" si="33"/>
        <v>550775.49312440178</v>
      </c>
      <c r="U50" s="141">
        <f t="shared" si="33"/>
        <v>454019.71578343649</v>
      </c>
      <c r="V50" s="141">
        <f t="shared" si="33"/>
        <v>551032.00224208098</v>
      </c>
      <c r="W50" s="141">
        <f t="shared" si="33"/>
        <v>520585.05550519709</v>
      </c>
      <c r="X50" s="141">
        <f t="shared" si="33"/>
        <v>635860.87114627764</v>
      </c>
      <c r="Y50" s="141">
        <f t="shared" si="33"/>
        <v>508246.74315927317</v>
      </c>
      <c r="Z50" s="141">
        <f t="shared" si="33"/>
        <v>628238.43241432251</v>
      </c>
      <c r="AA50" s="141">
        <f t="shared" si="33"/>
        <v>422018.80680321594</v>
      </c>
      <c r="AB50" s="141">
        <f t="shared" si="33"/>
        <v>464536.08254880935</v>
      </c>
      <c r="AC50" s="141">
        <f t="shared" si="33"/>
        <v>507263.1769907219</v>
      </c>
    </row>
    <row r="53" spans="1:29" ht="15">
      <c r="A53" s="38"/>
      <c r="B53" s="38"/>
      <c r="C53" s="38"/>
      <c r="D53" s="38"/>
      <c r="E53" s="38"/>
      <c r="F53" s="38"/>
      <c r="G53" s="38" t="str">
        <f>G8</f>
        <v>SCGT _GT13E2 _DF</v>
      </c>
      <c r="H53" s="38" t="str">
        <f t="shared" ref="H53:AC53" si="34">H8</f>
        <v>SCGT _GT13E2 _GasOnly</v>
      </c>
      <c r="I53" s="38" t="str">
        <f t="shared" si="34"/>
        <v>SCGT _SGT5-2000E _DF</v>
      </c>
      <c r="J53" s="38" t="str">
        <f t="shared" si="34"/>
        <v>SCGT _SGT5-2000E _GasOnly</v>
      </c>
      <c r="K53" s="38" t="str">
        <f t="shared" si="34"/>
        <v>SCGT _1x9FA _DF</v>
      </c>
      <c r="L53" s="38" t="str">
        <f t="shared" si="34"/>
        <v>SCGT _1x9FA _GasOnly</v>
      </c>
      <c r="M53" s="38" t="str">
        <f t="shared" si="34"/>
        <v>SCGT _LM2500 _GasOnly</v>
      </c>
      <c r="N53" s="38" t="str">
        <f t="shared" si="34"/>
        <v>SCGT _LM2500 _DF</v>
      </c>
      <c r="O53" s="38" t="str">
        <f t="shared" si="34"/>
        <v>SCGT _LM6000 _DF</v>
      </c>
      <c r="P53" s="38" t="str">
        <f t="shared" si="34"/>
        <v>SCGT _LM6000 _GasOnly</v>
      </c>
      <c r="Q53" s="38" t="str">
        <f t="shared" si="34"/>
        <v>SCGT _LMS100 _DF</v>
      </c>
      <c r="R53" s="38" t="str">
        <f t="shared" si="34"/>
        <v>SCGT _LMS100 _GasOnly</v>
      </c>
      <c r="S53" s="38" t="str">
        <f t="shared" si="34"/>
        <v>CCGT _9FA _DF</v>
      </c>
      <c r="T53" s="38" t="str">
        <f t="shared" si="34"/>
        <v>CCGT _9FA _GasOnly</v>
      </c>
      <c r="U53" s="38" t="str">
        <f t="shared" si="34"/>
        <v>CCGT _GT13E2 _DF</v>
      </c>
      <c r="V53" s="38" t="str">
        <f t="shared" si="34"/>
        <v>CCGT _GT13E2 _GasOnly</v>
      </c>
      <c r="W53" s="38" t="str">
        <f t="shared" si="34"/>
        <v>RECIP _Jenbacher _DF</v>
      </c>
      <c r="X53" s="38" t="str">
        <f t="shared" si="34"/>
        <v>RECIP _Jenbacher _GasOnly</v>
      </c>
      <c r="Y53" s="38" t="str">
        <f t="shared" si="34"/>
        <v>RECIP _Wartsila _DF</v>
      </c>
      <c r="Z53" s="38" t="str">
        <f t="shared" si="34"/>
        <v>RECIP _Wartsila _GasOnly</v>
      </c>
      <c r="AA53" s="38" t="str">
        <f t="shared" si="34"/>
        <v>BESS_6hr</v>
      </c>
      <c r="AB53" s="38" t="str">
        <f t="shared" si="34"/>
        <v>BESS_7hr</v>
      </c>
      <c r="AC53" s="38" t="str">
        <f t="shared" si="34"/>
        <v>BESS_8hr</v>
      </c>
    </row>
    <row r="54" spans="1:29">
      <c r="A54" t="s">
        <v>171</v>
      </c>
      <c r="C54" s="139" t="str">
        <f>"$"&amp;YEAR(Date_BRCP)</f>
        <v>$2029</v>
      </c>
      <c r="G54" s="127">
        <f t="shared" ref="G54:AC54" si="35">IFERROR(G$50/HLOOKUP(G$8,ConfigParamsTable,CapCreditsMultiplier_Peak,FALSE),0)</f>
        <v>351366.76367942861</v>
      </c>
      <c r="H54" s="127">
        <f t="shared" si="35"/>
        <v>490919.14339173044</v>
      </c>
      <c r="I54" s="127">
        <f t="shared" si="35"/>
        <v>344892.54102576099</v>
      </c>
      <c r="J54" s="127">
        <f t="shared" si="35"/>
        <v>483857.19716313959</v>
      </c>
      <c r="K54" s="127">
        <f t="shared" si="35"/>
        <v>382526.56923212274</v>
      </c>
      <c r="L54" s="127">
        <f t="shared" si="35"/>
        <v>503784.85957385116</v>
      </c>
      <c r="M54" s="127">
        <f t="shared" si="35"/>
        <v>656881.68157825049</v>
      </c>
      <c r="N54" s="127">
        <f t="shared" si="35"/>
        <v>523153.67502211424</v>
      </c>
      <c r="O54" s="127">
        <f t="shared" si="35"/>
        <v>606441.36651101115</v>
      </c>
      <c r="P54" s="127">
        <f t="shared" si="35"/>
        <v>737993.33607149636</v>
      </c>
      <c r="Q54" s="127">
        <f t="shared" si="35"/>
        <v>505978.01381525147</v>
      </c>
      <c r="R54" s="127">
        <f t="shared" si="35"/>
        <v>646859.07280911435</v>
      </c>
      <c r="S54" s="127">
        <f t="shared" si="35"/>
        <v>0</v>
      </c>
      <c r="T54" s="127">
        <f t="shared" si="35"/>
        <v>0</v>
      </c>
      <c r="U54" s="127">
        <f t="shared" si="35"/>
        <v>454019.71578343649</v>
      </c>
      <c r="V54" s="127">
        <f t="shared" si="35"/>
        <v>551032.00224208098</v>
      </c>
      <c r="W54" s="127">
        <f t="shared" si="35"/>
        <v>520585.05550519709</v>
      </c>
      <c r="X54" s="127">
        <f t="shared" si="35"/>
        <v>635860.87114627764</v>
      </c>
      <c r="Y54" s="127">
        <f t="shared" si="35"/>
        <v>508246.74315927317</v>
      </c>
      <c r="Z54" s="127">
        <f t="shared" si="35"/>
        <v>628238.43241432251</v>
      </c>
      <c r="AA54" s="127">
        <f t="shared" si="35"/>
        <v>492355.27460375195</v>
      </c>
      <c r="AB54" s="127">
        <f t="shared" si="35"/>
        <v>464536.08254880935</v>
      </c>
      <c r="AC54" s="127">
        <f t="shared" si="35"/>
        <v>507263.1769907219</v>
      </c>
    </row>
    <row r="55" spans="1:29">
      <c r="A55" t="s">
        <v>172</v>
      </c>
      <c r="C55" s="139" t="str">
        <f>"$"&amp;YEAR(Date_BRCP)</f>
        <v>$2029</v>
      </c>
      <c r="G55" s="127">
        <f t="shared" ref="G55:AC55" si="36">IFERROR(G$50/HLOOKUP(G$8,ConfigParamsTable,CapCreditsMultiplier_Flex,FALSE),0)</f>
        <v>351366.76367942861</v>
      </c>
      <c r="H55" s="127">
        <f t="shared" si="36"/>
        <v>490919.14339173044</v>
      </c>
      <c r="I55" s="127">
        <f t="shared" si="36"/>
        <v>344892.54102576099</v>
      </c>
      <c r="J55" s="127">
        <f t="shared" si="36"/>
        <v>483857.19716313959</v>
      </c>
      <c r="K55" s="127">
        <f t="shared" si="36"/>
        <v>382526.56923212274</v>
      </c>
      <c r="L55" s="127">
        <f t="shared" si="36"/>
        <v>503784.85957385116</v>
      </c>
      <c r="M55" s="127">
        <f t="shared" si="36"/>
        <v>656881.68157825049</v>
      </c>
      <c r="N55" s="127">
        <f t="shared" si="36"/>
        <v>523153.67502211424</v>
      </c>
      <c r="O55" s="127">
        <f t="shared" si="36"/>
        <v>606441.36651101115</v>
      </c>
      <c r="P55" s="127">
        <f t="shared" si="36"/>
        <v>737993.33607149636</v>
      </c>
      <c r="Q55" s="127">
        <f t="shared" si="36"/>
        <v>505978.01381525147</v>
      </c>
      <c r="R55" s="127">
        <f t="shared" si="36"/>
        <v>646859.07280911435</v>
      </c>
      <c r="S55" s="127">
        <f t="shared" si="36"/>
        <v>0</v>
      </c>
      <c r="T55" s="127">
        <f t="shared" si="36"/>
        <v>0</v>
      </c>
      <c r="U55" s="127">
        <f t="shared" si="36"/>
        <v>681029.57367515482</v>
      </c>
      <c r="V55" s="127">
        <f t="shared" si="36"/>
        <v>826548.00336312153</v>
      </c>
      <c r="W55" s="127">
        <f t="shared" si="36"/>
        <v>520585.05550519709</v>
      </c>
      <c r="X55" s="127">
        <f t="shared" si="36"/>
        <v>635860.87114627764</v>
      </c>
      <c r="Y55" s="127">
        <f t="shared" si="36"/>
        <v>508246.74315927317</v>
      </c>
      <c r="Z55" s="127">
        <f t="shared" si="36"/>
        <v>628238.43241432251</v>
      </c>
      <c r="AA55" s="127">
        <f t="shared" si="36"/>
        <v>492355.27460375195</v>
      </c>
      <c r="AB55" s="127">
        <f t="shared" si="36"/>
        <v>464536.08254880935</v>
      </c>
      <c r="AC55" s="127">
        <f t="shared" si="36"/>
        <v>507263.1769907219</v>
      </c>
    </row>
  </sheetData>
  <pageMargins left="0.7" right="0.7" top="0.75" bottom="0.75" header="0.3" footer="0.3"/>
  <pageSetup paperSize="9" orientation="portrait" r:id="rId1"/>
  <headerFooter>
    <oddHeader>&amp;C&amp;"Aptos"&amp;10&amp;KFF0000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9395-6054-419F-90A1-5F3D1F8B8624}">
  <dimension ref="A3:I79"/>
  <sheetViews>
    <sheetView workbookViewId="0">
      <selection activeCell="B47" sqref="B47"/>
    </sheetView>
  </sheetViews>
  <sheetFormatPr defaultRowHeight="14.25"/>
  <cols>
    <col min="1" max="1" width="30.125" customWidth="1"/>
    <col min="3" max="3" width="12.5" customWidth="1"/>
    <col min="4" max="4" width="9.625" bestFit="1" customWidth="1"/>
    <col min="6" max="6" width="25.625" customWidth="1"/>
    <col min="7" max="7" width="14.75" customWidth="1"/>
  </cols>
  <sheetData>
    <row r="3" spans="1:4">
      <c r="A3" t="s">
        <v>173</v>
      </c>
    </row>
    <row r="4" spans="1:4">
      <c r="C4" s="156" t="s">
        <v>174</v>
      </c>
      <c r="D4" s="156" t="s">
        <v>24</v>
      </c>
    </row>
    <row r="5" spans="1:4">
      <c r="C5" s="89">
        <v>1</v>
      </c>
      <c r="D5" s="154">
        <v>26550101</v>
      </c>
    </row>
    <row r="6" spans="1:4">
      <c r="C6" s="89">
        <v>2</v>
      </c>
      <c r="D6" s="154">
        <f>D5+1500000+9450000+4000101</f>
        <v>41500202</v>
      </c>
    </row>
    <row r="9" spans="1:4" ht="18">
      <c r="A9" s="151" t="s">
        <v>175</v>
      </c>
    </row>
    <row r="10" spans="1:4">
      <c r="A10" t="s">
        <v>176</v>
      </c>
    </row>
    <row r="25" spans="1:4">
      <c r="A25" t="s">
        <v>177</v>
      </c>
    </row>
    <row r="26" spans="1:4">
      <c r="A26" t="s">
        <v>178</v>
      </c>
    </row>
    <row r="32" spans="1:4" ht="18">
      <c r="A32" s="151" t="s">
        <v>179</v>
      </c>
      <c r="D32" s="73" t="s">
        <v>180</v>
      </c>
    </row>
    <row r="33" spans="1:9" ht="15" thickBot="1">
      <c r="A33" t="s">
        <v>181</v>
      </c>
      <c r="D33" s="40" t="s">
        <v>182</v>
      </c>
    </row>
    <row r="34" spans="1:9" ht="45.75" thickBot="1">
      <c r="A34" s="185" t="s">
        <v>183</v>
      </c>
      <c r="B34" s="186" t="s">
        <v>184</v>
      </c>
      <c r="C34" s="186" t="s">
        <v>185</v>
      </c>
    </row>
    <row r="35" spans="1:9" ht="16.5" thickBot="1">
      <c r="A35" s="87" t="s">
        <v>186</v>
      </c>
      <c r="B35" s="88" t="s">
        <v>187</v>
      </c>
      <c r="C35" s="88">
        <v>3.093</v>
      </c>
    </row>
    <row r="36" spans="1:9" ht="16.5" thickBot="1">
      <c r="A36" s="87" t="s">
        <v>188</v>
      </c>
      <c r="B36" s="88" t="s">
        <v>189</v>
      </c>
      <c r="C36" s="88">
        <v>2.7490000000000001</v>
      </c>
    </row>
    <row r="37" spans="1:9" ht="16.5" thickBot="1">
      <c r="A37" s="87" t="s">
        <v>133</v>
      </c>
      <c r="B37" s="88" t="s">
        <v>190</v>
      </c>
      <c r="C37" s="88">
        <v>3.153</v>
      </c>
    </row>
    <row r="38" spans="1:9" ht="16.5" thickBot="1">
      <c r="A38" s="87" t="s">
        <v>191</v>
      </c>
      <c r="B38" s="88" t="s">
        <v>192</v>
      </c>
      <c r="C38" s="88">
        <v>3.1120000000000001</v>
      </c>
    </row>
    <row r="39" spans="1:9" ht="16.5" thickBot="1">
      <c r="A39" s="87" t="s">
        <v>193</v>
      </c>
      <c r="B39" s="88" t="s">
        <v>194</v>
      </c>
      <c r="C39" s="88">
        <v>2.2389999999999999</v>
      </c>
    </row>
    <row r="40" spans="1:9" ht="16.5" thickBot="1">
      <c r="A40" s="87" t="s">
        <v>195</v>
      </c>
      <c r="B40" s="88" t="s">
        <v>196</v>
      </c>
      <c r="C40" s="88">
        <v>1.887</v>
      </c>
      <c r="F40" s="42" t="s">
        <v>197</v>
      </c>
    </row>
    <row r="41" spans="1:9" ht="45.75" thickBot="1">
      <c r="A41" s="87" t="s">
        <v>198</v>
      </c>
      <c r="B41" s="88" t="s">
        <v>199</v>
      </c>
      <c r="C41" s="88">
        <v>3.5710000000000002</v>
      </c>
      <c r="F41" s="186"/>
      <c r="G41" s="186" t="s">
        <v>185</v>
      </c>
      <c r="I41" s="73" t="s">
        <v>200</v>
      </c>
    </row>
    <row r="42" spans="1:9" ht="16.5" thickBot="1">
      <c r="A42" s="87" t="s">
        <v>201</v>
      </c>
      <c r="B42" s="88" t="s">
        <v>202</v>
      </c>
      <c r="C42" s="88">
        <v>3.6190000000000002</v>
      </c>
      <c r="F42" t="s">
        <v>133</v>
      </c>
      <c r="G42">
        <f>VLOOKUP(F42,$A$35:$C$73,3,FALSE)</f>
        <v>3.153</v>
      </c>
    </row>
    <row r="43" spans="1:9" ht="16.5" thickBot="1">
      <c r="A43" s="87" t="s">
        <v>203</v>
      </c>
      <c r="B43" s="88" t="s">
        <v>204</v>
      </c>
      <c r="C43" s="88">
        <v>2.5990000000000002</v>
      </c>
      <c r="F43" t="s">
        <v>205</v>
      </c>
      <c r="G43">
        <f t="shared" ref="G43:G45" si="0">VLOOKUP(F43,$A$35:$C$73,3,FALSE)</f>
        <v>1.569</v>
      </c>
    </row>
    <row r="44" spans="1:9" ht="16.5" thickBot="1">
      <c r="A44" s="87" t="s">
        <v>206</v>
      </c>
      <c r="B44" s="88" t="s">
        <v>207</v>
      </c>
      <c r="C44" s="88">
        <v>3.153</v>
      </c>
      <c r="F44" t="s">
        <v>208</v>
      </c>
      <c r="G44">
        <f t="shared" si="0"/>
        <v>1.9330000000000001</v>
      </c>
    </row>
    <row r="45" spans="1:9" ht="16.5" thickBot="1">
      <c r="A45" s="87" t="s">
        <v>209</v>
      </c>
      <c r="B45" s="88" t="s">
        <v>210</v>
      </c>
      <c r="C45" s="88">
        <v>0.52900000000000003</v>
      </c>
      <c r="F45" t="s">
        <v>211</v>
      </c>
      <c r="G45">
        <f t="shared" si="0"/>
        <v>1.9330000000000001</v>
      </c>
    </row>
    <row r="46" spans="1:9" ht="16.5" thickBot="1">
      <c r="A46" s="87" t="s">
        <v>212</v>
      </c>
      <c r="B46" s="88" t="s">
        <v>213</v>
      </c>
      <c r="C46" s="88">
        <v>0.67400000000000004</v>
      </c>
      <c r="F46" s="184" t="s">
        <v>32</v>
      </c>
      <c r="G46" s="187">
        <f>AVERAGE(G42:G45)</f>
        <v>2.1469999999999998</v>
      </c>
    </row>
    <row r="47" spans="1:9" ht="16.5" thickBot="1">
      <c r="A47" s="87" t="s">
        <v>214</v>
      </c>
      <c r="B47" s="88" t="s">
        <v>215</v>
      </c>
      <c r="C47" s="88">
        <v>2.5150000000000001</v>
      </c>
    </row>
    <row r="48" spans="1:9" ht="16.5" thickBot="1">
      <c r="A48" s="87" t="s">
        <v>216</v>
      </c>
      <c r="B48" s="88" t="s">
        <v>217</v>
      </c>
      <c r="C48" s="88">
        <v>1.946</v>
      </c>
    </row>
    <row r="49" spans="1:3" ht="16.5" thickBot="1">
      <c r="A49" s="87" t="s">
        <v>218</v>
      </c>
      <c r="B49" s="88" t="s">
        <v>219</v>
      </c>
      <c r="C49" s="88">
        <v>1.887</v>
      </c>
    </row>
    <row r="50" spans="1:3" ht="16.5" thickBot="1">
      <c r="A50" s="87" t="s">
        <v>220</v>
      </c>
      <c r="B50" s="88" t="s">
        <v>221</v>
      </c>
      <c r="C50" s="88">
        <v>1.4790000000000001</v>
      </c>
    </row>
    <row r="51" spans="1:3" ht="16.5" thickBot="1">
      <c r="A51" s="87" t="s">
        <v>222</v>
      </c>
      <c r="B51" s="88" t="s">
        <v>223</v>
      </c>
      <c r="C51" s="88">
        <v>1.887</v>
      </c>
    </row>
    <row r="52" spans="1:3" ht="16.5" thickBot="1">
      <c r="A52" s="87" t="s">
        <v>224</v>
      </c>
      <c r="B52" s="88" t="s">
        <v>225</v>
      </c>
      <c r="C52" s="88">
        <v>1.4790000000000001</v>
      </c>
    </row>
    <row r="53" spans="1:3" ht="16.5" thickBot="1">
      <c r="A53" s="87" t="s">
        <v>226</v>
      </c>
      <c r="B53" s="88" t="s">
        <v>227</v>
      </c>
      <c r="C53" s="88">
        <v>2.347</v>
      </c>
    </row>
    <row r="54" spans="1:3" ht="16.5" thickBot="1">
      <c r="A54" s="87" t="s">
        <v>228</v>
      </c>
      <c r="B54" s="88" t="s">
        <v>229</v>
      </c>
      <c r="C54" s="88">
        <v>1.4790000000000001</v>
      </c>
    </row>
    <row r="55" spans="1:3" ht="16.5" thickBot="1">
      <c r="A55" s="87" t="s">
        <v>230</v>
      </c>
      <c r="B55" s="88" t="s">
        <v>231</v>
      </c>
      <c r="C55" s="88">
        <v>2.5990000000000002</v>
      </c>
    </row>
    <row r="56" spans="1:3" ht="16.5" thickBot="1">
      <c r="A56" s="87" t="s">
        <v>232</v>
      </c>
      <c r="B56" s="88" t="s">
        <v>233</v>
      </c>
      <c r="C56" s="88">
        <v>2.5990000000000002</v>
      </c>
    </row>
    <row r="57" spans="1:3" ht="16.5" thickBot="1">
      <c r="A57" s="87" t="s">
        <v>234</v>
      </c>
      <c r="B57" s="88" t="s">
        <v>235</v>
      </c>
      <c r="C57" s="88">
        <v>3.798</v>
      </c>
    </row>
    <row r="58" spans="1:3" ht="16.5" thickBot="1">
      <c r="A58" s="87" t="s">
        <v>236</v>
      </c>
      <c r="B58" s="88" t="s">
        <v>237</v>
      </c>
      <c r="C58" s="88">
        <v>3.2</v>
      </c>
    </row>
    <row r="59" spans="1:3" ht="16.5" thickBot="1">
      <c r="A59" s="87" t="s">
        <v>238</v>
      </c>
      <c r="B59" s="88" t="s">
        <v>239</v>
      </c>
      <c r="C59" s="88">
        <v>3.1440000000000001</v>
      </c>
    </row>
    <row r="60" spans="1:3" ht="16.5" thickBot="1">
      <c r="A60" s="87" t="s">
        <v>240</v>
      </c>
      <c r="B60" s="88" t="s">
        <v>241</v>
      </c>
      <c r="C60" s="88">
        <v>3.6190000000000002</v>
      </c>
    </row>
    <row r="61" spans="1:3" ht="16.5" thickBot="1">
      <c r="A61" s="87" t="s">
        <v>242</v>
      </c>
      <c r="B61" s="88" t="s">
        <v>243</v>
      </c>
      <c r="C61" s="88">
        <v>2.1949999999999998</v>
      </c>
    </row>
    <row r="62" spans="1:3" ht="16.5" thickBot="1">
      <c r="A62" s="87" t="s">
        <v>208</v>
      </c>
      <c r="B62" s="88" t="s">
        <v>244</v>
      </c>
      <c r="C62" s="88">
        <v>1.9330000000000001</v>
      </c>
    </row>
    <row r="63" spans="1:3" ht="16.5" thickBot="1">
      <c r="A63" s="87" t="s">
        <v>245</v>
      </c>
      <c r="B63" s="88" t="s">
        <v>246</v>
      </c>
      <c r="C63" s="88">
        <v>2.617</v>
      </c>
    </row>
    <row r="64" spans="1:3" ht="16.5" thickBot="1">
      <c r="A64" s="87" t="s">
        <v>247</v>
      </c>
      <c r="B64" s="88" t="s">
        <v>248</v>
      </c>
      <c r="C64" s="88">
        <v>2.6989999999999998</v>
      </c>
    </row>
    <row r="65" spans="1:3" ht="16.5" thickBot="1">
      <c r="A65" s="87" t="s">
        <v>205</v>
      </c>
      <c r="B65" s="88" t="s">
        <v>249</v>
      </c>
      <c r="C65" s="88">
        <v>1.569</v>
      </c>
    </row>
    <row r="66" spans="1:3" ht="16.5" thickBot="1">
      <c r="A66" s="87" t="s">
        <v>250</v>
      </c>
      <c r="B66" s="88" t="s">
        <v>251</v>
      </c>
      <c r="C66" s="88">
        <v>3.6190000000000002</v>
      </c>
    </row>
    <row r="67" spans="1:3" ht="16.5" thickBot="1">
      <c r="A67" s="87" t="s">
        <v>252</v>
      </c>
      <c r="B67" s="88" t="s">
        <v>253</v>
      </c>
      <c r="C67" s="88">
        <v>1.524</v>
      </c>
    </row>
    <row r="68" spans="1:3" ht="16.5" thickBot="1">
      <c r="A68" s="87" t="s">
        <v>254</v>
      </c>
      <c r="B68" s="88" t="s">
        <v>255</v>
      </c>
      <c r="C68" s="88">
        <v>2.1640000000000001</v>
      </c>
    </row>
    <row r="69" spans="1:3" ht="16.5" thickBot="1">
      <c r="A69" s="87" t="s">
        <v>256</v>
      </c>
      <c r="B69" s="88" t="s">
        <v>257</v>
      </c>
      <c r="C69" s="88">
        <v>3.4710000000000001</v>
      </c>
    </row>
    <row r="70" spans="1:3" ht="16.5" thickBot="1">
      <c r="A70" s="87" t="s">
        <v>258</v>
      </c>
      <c r="B70" s="88" t="s">
        <v>259</v>
      </c>
      <c r="C70" s="88">
        <v>3.153</v>
      </c>
    </row>
    <row r="71" spans="1:3" ht="16.5" thickBot="1">
      <c r="A71" s="87" t="s">
        <v>260</v>
      </c>
      <c r="B71" s="88" t="s">
        <v>261</v>
      </c>
      <c r="C71" s="88">
        <v>2.1949999999999998</v>
      </c>
    </row>
    <row r="72" spans="1:3" ht="16.5" thickBot="1">
      <c r="A72" s="87" t="s">
        <v>262</v>
      </c>
      <c r="B72" s="88" t="s">
        <v>263</v>
      </c>
      <c r="C72" s="88">
        <v>2.4569999999999999</v>
      </c>
    </row>
    <row r="73" spans="1:3" ht="16.5" thickBot="1">
      <c r="A73" s="87" t="s">
        <v>211</v>
      </c>
      <c r="B73" s="88" t="s">
        <v>264</v>
      </c>
      <c r="C73" s="88">
        <v>1.9330000000000001</v>
      </c>
    </row>
    <row r="74" spans="1:3" ht="15" thickBot="1"/>
    <row r="75" spans="1:3" ht="30.75" thickBot="1">
      <c r="A75" s="185" t="s">
        <v>265</v>
      </c>
      <c r="B75" s="186" t="s">
        <v>266</v>
      </c>
    </row>
    <row r="76" spans="1:3">
      <c r="A76" t="s">
        <v>267</v>
      </c>
      <c r="B76">
        <v>0.30499999999999999</v>
      </c>
    </row>
    <row r="77" spans="1:3" ht="15" thickBot="1"/>
    <row r="78" spans="1:3" ht="30.75" thickBot="1">
      <c r="A78" s="185" t="s">
        <v>268</v>
      </c>
      <c r="B78" s="186" t="s">
        <v>269</v>
      </c>
    </row>
    <row r="79" spans="1:3">
      <c r="A79" t="s">
        <v>270</v>
      </c>
      <c r="B79">
        <v>1211.979</v>
      </c>
    </row>
  </sheetData>
  <hyperlinks>
    <hyperlink ref="D33" r:id="rId1" xr:uid="{D621A332-55E9-47E3-89AC-E2676DD1B43E}"/>
  </hyperlinks>
  <pageMargins left="0.7" right="0.7" top="0.75" bottom="0.75" header="0.3" footer="0.3"/>
  <pageSetup paperSize="9" orientation="portrait" r:id="rId2"/>
  <headerFooter>
    <oddHeader>&amp;C&amp;"Aptos"&amp;10&amp;KFF0000 OFFICIAL&amp;1#_x000D_</oddHead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E54D9-1575-4009-97CF-E6FE3D265605}">
  <dimension ref="A2:U140"/>
  <sheetViews>
    <sheetView workbookViewId="0">
      <selection activeCell="N49" sqref="N49"/>
    </sheetView>
  </sheetViews>
  <sheetFormatPr defaultColWidth="9.25" defaultRowHeight="14.25"/>
  <cols>
    <col min="1" max="1" width="39.125" style="158" customWidth="1"/>
    <col min="2" max="2" width="7.375" style="158" customWidth="1"/>
    <col min="3" max="3" width="12.625" style="158" customWidth="1"/>
    <col min="4" max="8" width="7.375" style="158" customWidth="1"/>
    <col min="9" max="15" width="9.25" style="158"/>
    <col min="16" max="16" width="8.375" style="158" customWidth="1"/>
    <col min="17" max="16384" width="9.25" style="158"/>
  </cols>
  <sheetData>
    <row r="2" spans="1:5" ht="18">
      <c r="A2" s="151" t="s">
        <v>2</v>
      </c>
    </row>
    <row r="4" spans="1:5">
      <c r="A4" s="158" t="s">
        <v>271</v>
      </c>
      <c r="C4" s="124">
        <v>45473</v>
      </c>
    </row>
    <row r="5" spans="1:5">
      <c r="A5" s="158" t="str">
        <f>"Esc "&amp;YEAR(GasConn_CostRefDate)&amp;" to "&amp;YEAR(Date_Current)</f>
        <v>Esc 2024 to 2026</v>
      </c>
      <c r="C5" s="167">
        <f>VLOOKUP(Date_Current,CPI_Historic_table,2,TRUE)/VLOOKUP(GasConn_CostRefDate,CPI_Historic_table,2,TRUE)</f>
        <v>1.0548698267814542</v>
      </c>
    </row>
    <row r="6" spans="1:5">
      <c r="C6"/>
    </row>
    <row r="7" spans="1:5">
      <c r="A7" s="158" t="s">
        <v>272</v>
      </c>
      <c r="C7" s="134">
        <v>4.7</v>
      </c>
      <c r="D7" s="158" t="s">
        <v>273</v>
      </c>
      <c r="E7" s="73" t="s">
        <v>274</v>
      </c>
    </row>
    <row r="8" spans="1:5">
      <c r="C8" s="167">
        <f>C7*C5</f>
        <v>4.957888185872835</v>
      </c>
      <c r="D8" s="158" t="str">
        <f>"$"&amp;YEAR(Date_Current)</f>
        <v>$2026</v>
      </c>
    </row>
    <row r="11" spans="1:5">
      <c r="A11" s="158" t="s">
        <v>275</v>
      </c>
      <c r="C11" s="154">
        <v>100000</v>
      </c>
      <c r="D11" s="164" t="s">
        <v>276</v>
      </c>
      <c r="E11" s="73" t="s">
        <v>274</v>
      </c>
    </row>
    <row r="12" spans="1:5">
      <c r="C12" s="160">
        <f>C11*C5</f>
        <v>105486.98267814542</v>
      </c>
      <c r="D12" s="158" t="str">
        <f>"$"&amp;YEAR(Date_Current)</f>
        <v>$2026</v>
      </c>
    </row>
    <row r="15" spans="1:5">
      <c r="A15" s="158" t="s">
        <v>277</v>
      </c>
      <c r="C15" s="158">
        <f>LandCost_DollarsPerHa/1000000</f>
        <v>0.53625</v>
      </c>
      <c r="D15" s="158" t="s">
        <v>278</v>
      </c>
      <c r="E15" s="73" t="s">
        <v>279</v>
      </c>
    </row>
    <row r="17" spans="1:7">
      <c r="B17" s="158" t="s">
        <v>280</v>
      </c>
      <c r="C17" s="134">
        <v>5</v>
      </c>
      <c r="D17" s="158" t="s">
        <v>109</v>
      </c>
      <c r="E17" s="73" t="s">
        <v>281</v>
      </c>
    </row>
    <row r="18" spans="1:7">
      <c r="E18" s="73"/>
    </row>
    <row r="19" spans="1:7">
      <c r="A19" s="158" t="s">
        <v>282</v>
      </c>
      <c r="C19" s="158">
        <f>VLOOKUP(SiteLocation,PipelineDistanceTable,2,FALSE)</f>
        <v>15.875</v>
      </c>
      <c r="D19" s="158" t="s">
        <v>283</v>
      </c>
      <c r="E19" s="73"/>
    </row>
    <row r="21" spans="1:7" ht="18">
      <c r="A21" s="151" t="s">
        <v>284</v>
      </c>
    </row>
    <row r="22" spans="1:7">
      <c r="A22" s="158" t="s">
        <v>285</v>
      </c>
      <c r="C22" s="134">
        <v>14</v>
      </c>
      <c r="D22" s="158" t="s">
        <v>286</v>
      </c>
      <c r="G22" s="158" t="s">
        <v>287</v>
      </c>
    </row>
    <row r="23" spans="1:7">
      <c r="A23" s="158" t="s">
        <v>288</v>
      </c>
      <c r="C23" s="134">
        <v>24</v>
      </c>
      <c r="D23" s="158" t="s">
        <v>286</v>
      </c>
    </row>
    <row r="24" spans="1:7">
      <c r="A24" s="158" t="s">
        <v>289</v>
      </c>
      <c r="C24" s="134">
        <v>2</v>
      </c>
      <c r="D24" s="158" t="s">
        <v>24</v>
      </c>
      <c r="G24" s="73" t="s">
        <v>290</v>
      </c>
    </row>
    <row r="25" spans="1:7">
      <c r="A25" s="158" t="s">
        <v>291</v>
      </c>
      <c r="C25" s="134">
        <v>5</v>
      </c>
      <c r="D25" s="158" t="s">
        <v>292</v>
      </c>
    </row>
    <row r="26" spans="1:7" ht="18">
      <c r="A26" s="151"/>
    </row>
    <row r="27" spans="1:7" ht="18">
      <c r="A27" s="151"/>
    </row>
    <row r="28" spans="1:7" ht="18">
      <c r="A28" s="151"/>
    </row>
    <row r="29" spans="1:7" ht="18">
      <c r="A29" s="151"/>
    </row>
    <row r="30" spans="1:7" ht="18">
      <c r="A30" s="151"/>
    </row>
    <row r="31" spans="1:7" ht="18">
      <c r="A31" s="151"/>
    </row>
    <row r="32" spans="1:7" ht="18">
      <c r="A32" s="151"/>
    </row>
    <row r="37" spans="1:21">
      <c r="K37" s="158">
        <f>COLUMN()-COLUMN(A40)+1</f>
        <v>11</v>
      </c>
      <c r="T37" s="158">
        <f>COLUMN()-COLUMN(A40)+1</f>
        <v>20</v>
      </c>
    </row>
    <row r="38" spans="1:21" ht="15">
      <c r="A38" s="168" t="s">
        <v>71</v>
      </c>
      <c r="B38" s="168"/>
      <c r="C38" s="168"/>
      <c r="D38" s="168"/>
      <c r="E38" s="168"/>
      <c r="F38" s="168"/>
      <c r="G38" s="168"/>
      <c r="H38" s="168"/>
      <c r="I38" s="168"/>
      <c r="J38" s="168"/>
      <c r="K38" s="168" t="s">
        <v>293</v>
      </c>
      <c r="L38" s="168"/>
      <c r="M38" s="168"/>
      <c r="N38" s="168" t="s">
        <v>294</v>
      </c>
      <c r="O38" s="168"/>
      <c r="P38" s="195" t="s">
        <v>295</v>
      </c>
      <c r="Q38" s="195"/>
      <c r="R38" s="195"/>
      <c r="S38" s="195"/>
      <c r="T38" s="195"/>
      <c r="U38" s="168"/>
    </row>
    <row r="39" spans="1:21" s="171" customFormat="1" ht="30">
      <c r="A39" s="172"/>
      <c r="B39" s="172" t="s">
        <v>296</v>
      </c>
      <c r="C39" s="172" t="s">
        <v>297</v>
      </c>
      <c r="D39" s="172" t="s">
        <v>298</v>
      </c>
      <c r="E39" s="172" t="s">
        <v>299</v>
      </c>
      <c r="F39" s="172" t="s">
        <v>300</v>
      </c>
      <c r="G39" s="172" t="str">
        <f>"GJ for "&amp;NG_FatLateralStorageHours&amp;" hours"</f>
        <v>GJ for 14 hours</v>
      </c>
      <c r="H39" s="172"/>
      <c r="I39" s="172" t="s">
        <v>301</v>
      </c>
      <c r="J39" s="172" t="s">
        <v>302</v>
      </c>
      <c r="K39" s="172" t="s">
        <v>113</v>
      </c>
      <c r="L39" s="169" t="s">
        <v>303</v>
      </c>
      <c r="M39" s="172" t="s">
        <v>304</v>
      </c>
      <c r="N39" s="172" t="s">
        <v>283</v>
      </c>
      <c r="O39" s="172"/>
      <c r="P39" s="172" t="s">
        <v>272</v>
      </c>
      <c r="Q39" s="172" t="s">
        <v>275</v>
      </c>
      <c r="R39" s="172" t="s">
        <v>305</v>
      </c>
      <c r="S39" s="172" t="s">
        <v>306</v>
      </c>
      <c r="T39" s="172" t="s">
        <v>169</v>
      </c>
      <c r="U39" s="172" t="s">
        <v>307</v>
      </c>
    </row>
    <row r="40" spans="1:21">
      <c r="A40" s="189" t="s">
        <v>308</v>
      </c>
      <c r="B40" s="159">
        <f t="shared" ref="B40:B49" si="0">HLOOKUP($A40,ConfigParamsTable,ConfigRow_NetMW,FALSE)</f>
        <v>341.18865966796875</v>
      </c>
      <c r="C40" s="160">
        <f t="shared" ref="C40:C49" si="1">HLOOKUP($A40,ConfigParamsTable,ConfigRow_NetHR,FALSE)*1000</f>
        <v>9771</v>
      </c>
      <c r="D40" s="160">
        <f t="shared" ref="D40:D49" si="2">C40*NG_HHVonLHV</f>
        <v>10816.496999999999</v>
      </c>
      <c r="E40" s="160">
        <f>D40*B40/1000</f>
        <v>3690.4661137326048</v>
      </c>
      <c r="F40" s="160">
        <f t="shared" ref="F40:F49" si="3">E40/NG_GJperT/3.6</f>
        <v>20.502589520736691</v>
      </c>
      <c r="G40" s="160">
        <f t="shared" ref="G40:G49" si="4">E40*NG_FatLateralStorageHours</f>
        <v>51666.525592256468</v>
      </c>
      <c r="I40" s="161">
        <f t="shared" ref="I40:I49" si="5">F40*NG_FatLateralStorageHours/NG_FatLateralRechargeHours</f>
        <v>11.959843887096403</v>
      </c>
      <c r="J40" s="161">
        <f>I40*$C$107/1000</f>
        <v>3.7255174979652752</v>
      </c>
      <c r="K40" s="160">
        <f t="shared" ref="K40:K49" si="6">I40*3.6*24*NG_GJperT</f>
        <v>51666.525592256461</v>
      </c>
      <c r="L40" s="159">
        <f t="shared" ref="L40:L49" si="7">HLOOKUP($A40,ConfigParamsTable,ConfigRow_GasBara,FALSE)</f>
        <v>26.6</v>
      </c>
      <c r="M40" s="159">
        <f t="shared" ref="M40:M49" si="8">(L40+NG_LateralPRessureMargin_Bar)*101.325/1000</f>
        <v>3.2018700000000004</v>
      </c>
      <c r="N40" s="162">
        <f>MAX(GasConns_PipelineDistance,G40/VLOOKUP(M40,Gas!$B$127:$D$131,3,TRUE))</f>
        <v>20.92948956676468</v>
      </c>
      <c r="P40" s="163">
        <f>J40*$C$8</f>
        <v>18.470699189424561</v>
      </c>
      <c r="Q40" s="163">
        <f>N40*$C$12*36/1000000</f>
        <v>79.48039332210233</v>
      </c>
      <c r="R40" s="163">
        <f t="shared" ref="R40:R49" si="9">NG_FacilitiesCapex_DollarsMillions</f>
        <v>2</v>
      </c>
      <c r="S40" s="163">
        <f>$C$17*$C$15</f>
        <v>2.6812499999999999</v>
      </c>
      <c r="T40" s="163">
        <f>SUM(P40:S40)</f>
        <v>102.6323425115269</v>
      </c>
      <c r="U40" s="159">
        <f>T40/B40*1000</f>
        <v>300.80818808985214</v>
      </c>
    </row>
    <row r="41" spans="1:21">
      <c r="A41" s="189" t="s">
        <v>309</v>
      </c>
      <c r="B41" s="159">
        <f t="shared" si="0"/>
        <v>347.77304077148438</v>
      </c>
      <c r="C41" s="160">
        <f t="shared" si="1"/>
        <v>10057</v>
      </c>
      <c r="D41" s="160">
        <f t="shared" si="2"/>
        <v>11133.099</v>
      </c>
      <c r="E41" s="160">
        <f t="shared" ref="E41:E49" si="10">D41*B41/1000</f>
        <v>3871.7916924399719</v>
      </c>
      <c r="F41" s="160">
        <f t="shared" si="3"/>
        <v>21.509953846888731</v>
      </c>
      <c r="G41" s="160">
        <f t="shared" si="4"/>
        <v>54205.083694159606</v>
      </c>
      <c r="I41" s="161">
        <f t="shared" si="5"/>
        <v>12.547473077351761</v>
      </c>
      <c r="J41" s="161">
        <f t="shared" ref="J41:J49" si="11">I41*$C$107/1000</f>
        <v>3.9085652744478323</v>
      </c>
      <c r="K41" s="160">
        <f t="shared" si="6"/>
        <v>54205.083694159614</v>
      </c>
      <c r="L41" s="159">
        <f t="shared" si="7"/>
        <v>20.75</v>
      </c>
      <c r="M41" s="159">
        <f t="shared" si="8"/>
        <v>2.6091187499999999</v>
      </c>
      <c r="N41" s="162">
        <f>MAX(GasConns_PipelineDistance,G41/VLOOKUP(M41,Gas!$B$127:$D$131,3,TRUE))</f>
        <v>18.833611072704119</v>
      </c>
      <c r="P41" s="163">
        <f t="shared" ref="P41:P49" si="12">J41*$C$8</f>
        <v>19.378229597897722</v>
      </c>
      <c r="Q41" s="163">
        <f t="shared" ref="Q41:Q49" si="13">N41*$C$12*36/1000000</f>
        <v>71.521228979757623</v>
      </c>
      <c r="R41" s="163">
        <f t="shared" si="9"/>
        <v>2</v>
      </c>
      <c r="S41" s="163">
        <f t="shared" ref="S41:S49" si="14">$C$17*$C$15</f>
        <v>2.6812499999999999</v>
      </c>
      <c r="T41" s="163">
        <f t="shared" ref="T41:T49" si="15">SUM(P41:S41)</f>
        <v>95.580708577655344</v>
      </c>
      <c r="U41" s="159">
        <f t="shared" ref="U41:U49" si="16">T41/B41*1000</f>
        <v>274.83645185843994</v>
      </c>
    </row>
    <row r="42" spans="1:21">
      <c r="A42" s="189" t="s">
        <v>310</v>
      </c>
      <c r="B42" s="159">
        <f t="shared" si="0"/>
        <v>258.30279541015625</v>
      </c>
      <c r="C42" s="160">
        <f t="shared" si="1"/>
        <v>9608</v>
      </c>
      <c r="D42" s="160">
        <f t="shared" si="2"/>
        <v>10636.056</v>
      </c>
      <c r="E42" s="160">
        <f t="shared" si="10"/>
        <v>2747.3229969389649</v>
      </c>
      <c r="F42" s="160">
        <f t="shared" si="3"/>
        <v>15.262905538549806</v>
      </c>
      <c r="G42" s="160">
        <f t="shared" si="4"/>
        <v>38462.521957145509</v>
      </c>
      <c r="I42" s="161">
        <f t="shared" si="5"/>
        <v>8.9033615641540536</v>
      </c>
      <c r="J42" s="161">
        <f t="shared" si="11"/>
        <v>2.7734165772643955</v>
      </c>
      <c r="K42" s="160">
        <f t="shared" si="6"/>
        <v>38462.521957145516</v>
      </c>
      <c r="L42" s="159">
        <f t="shared" si="7"/>
        <v>28.37</v>
      </c>
      <c r="M42" s="159">
        <f t="shared" si="8"/>
        <v>3.3812152500000008</v>
      </c>
      <c r="N42" s="162">
        <f>MAX(GasConns_PipelineDistance,G42/VLOOKUP(M42,Gas!$B$127:$D$131,3,TRUE))</f>
        <v>15.875</v>
      </c>
      <c r="P42" s="163">
        <f t="shared" si="12"/>
        <v>13.750289282923021</v>
      </c>
      <c r="Q42" s="163">
        <f t="shared" si="13"/>
        <v>60.285810600560104</v>
      </c>
      <c r="R42" s="163">
        <f t="shared" si="9"/>
        <v>2</v>
      </c>
      <c r="S42" s="163">
        <f t="shared" si="14"/>
        <v>2.6812499999999999</v>
      </c>
      <c r="T42" s="163">
        <f t="shared" si="15"/>
        <v>78.717349883483138</v>
      </c>
      <c r="U42" s="159">
        <f t="shared" si="16"/>
        <v>304.74834683259508</v>
      </c>
    </row>
    <row r="43" spans="1:21">
      <c r="A43" s="189" t="s">
        <v>311</v>
      </c>
      <c r="B43" s="159">
        <f t="shared" si="0"/>
        <v>380.225830078125</v>
      </c>
      <c r="C43" s="160">
        <f t="shared" si="1"/>
        <v>9392</v>
      </c>
      <c r="D43" s="160">
        <f t="shared" si="2"/>
        <v>10396.944</v>
      </c>
      <c r="E43" s="160">
        <f t="shared" si="10"/>
        <v>3953.186662675781</v>
      </c>
      <c r="F43" s="160">
        <f t="shared" si="3"/>
        <v>21.962148125976562</v>
      </c>
      <c r="G43" s="160">
        <f t="shared" si="4"/>
        <v>55344.613277460936</v>
      </c>
      <c r="I43" s="161">
        <f t="shared" si="5"/>
        <v>12.811253073486327</v>
      </c>
      <c r="J43" s="161">
        <f t="shared" si="11"/>
        <v>3.9907333194900261</v>
      </c>
      <c r="K43" s="160">
        <f t="shared" si="6"/>
        <v>55344.613277460929</v>
      </c>
      <c r="L43" s="159">
        <f t="shared" si="7"/>
        <v>37.61</v>
      </c>
      <c r="M43" s="159">
        <f t="shared" si="8"/>
        <v>4.3174582499999996</v>
      </c>
      <c r="N43" s="162">
        <f>MAX(GasConns_PipelineDistance,G43/VLOOKUP(M43,Gas!$B$127:$D$131,3,TRUE))</f>
        <v>24.67235328940766</v>
      </c>
      <c r="P43" s="163">
        <f t="shared" si="12"/>
        <v>19.785609577668684</v>
      </c>
      <c r="Q43" s="163">
        <f t="shared" si="13"/>
        <v>93.694035746477894</v>
      </c>
      <c r="R43" s="163">
        <f t="shared" si="9"/>
        <v>2</v>
      </c>
      <c r="S43" s="163">
        <f t="shared" si="14"/>
        <v>2.6812499999999999</v>
      </c>
      <c r="T43" s="163">
        <f t="shared" si="15"/>
        <v>118.16089532414658</v>
      </c>
      <c r="U43" s="159">
        <f t="shared" si="16"/>
        <v>310.76504008122771</v>
      </c>
    </row>
    <row r="44" spans="1:21">
      <c r="A44" s="189" t="s">
        <v>312</v>
      </c>
      <c r="B44" s="159">
        <f t="shared" si="0"/>
        <v>264.0863037109375</v>
      </c>
      <c r="C44" s="160">
        <f t="shared" si="1"/>
        <v>8980</v>
      </c>
      <c r="D44" s="160">
        <f t="shared" si="2"/>
        <v>9940.86</v>
      </c>
      <c r="E44" s="160">
        <f t="shared" si="10"/>
        <v>2625.24497310791</v>
      </c>
      <c r="F44" s="160">
        <f t="shared" si="3"/>
        <v>14.584694295043944</v>
      </c>
      <c r="G44" s="160">
        <f t="shared" si="4"/>
        <v>36753.429623510739</v>
      </c>
      <c r="I44" s="161">
        <f t="shared" si="5"/>
        <v>8.5077383387756331</v>
      </c>
      <c r="J44" s="161">
        <f t="shared" si="11"/>
        <v>2.6501790782917731</v>
      </c>
      <c r="K44" s="160">
        <f t="shared" si="6"/>
        <v>36753.429623510739</v>
      </c>
      <c r="L44" s="159">
        <f t="shared" si="7"/>
        <v>50.91</v>
      </c>
      <c r="M44" s="159">
        <f t="shared" si="8"/>
        <v>5.6650807500000004</v>
      </c>
      <c r="N44" s="162">
        <f>MAX(GasConns_PipelineDistance,G44/VLOOKUP(M44,Gas!$B$127:$D$131,3,TRUE))</f>
        <v>18.272147454819745</v>
      </c>
      <c r="P44" s="163">
        <f t="shared" si="12"/>
        <v>13.139291542710142</v>
      </c>
      <c r="Q44" s="163">
        <f t="shared" si="13"/>
        <v>69.389053274127221</v>
      </c>
      <c r="R44" s="163">
        <f t="shared" si="9"/>
        <v>2</v>
      </c>
      <c r="S44" s="163">
        <f t="shared" si="14"/>
        <v>2.6812499999999999</v>
      </c>
      <c r="T44" s="163">
        <f t="shared" si="15"/>
        <v>87.209594816837367</v>
      </c>
      <c r="U44" s="159">
        <f t="shared" si="16"/>
        <v>330.23141901480392</v>
      </c>
    </row>
    <row r="45" spans="1:21">
      <c r="A45" s="189" t="s">
        <v>313</v>
      </c>
      <c r="B45" s="159">
        <f t="shared" si="0"/>
        <v>356.22232055664063</v>
      </c>
      <c r="C45" s="160">
        <f t="shared" si="1"/>
        <v>8720</v>
      </c>
      <c r="D45" s="160">
        <f t="shared" si="2"/>
        <v>9653.0399999999991</v>
      </c>
      <c r="E45" s="160">
        <f t="shared" si="10"/>
        <v>3438.6283092260737</v>
      </c>
      <c r="F45" s="160">
        <f t="shared" si="3"/>
        <v>19.103490606811523</v>
      </c>
      <c r="G45" s="160">
        <f t="shared" si="4"/>
        <v>48140.79632916503</v>
      </c>
      <c r="I45" s="161">
        <f t="shared" si="5"/>
        <v>11.143702853973387</v>
      </c>
      <c r="J45" s="161">
        <f t="shared" si="11"/>
        <v>3.4712877832289708</v>
      </c>
      <c r="K45" s="160">
        <f t="shared" si="6"/>
        <v>48140.79632916503</v>
      </c>
      <c r="L45" s="159">
        <f t="shared" si="7"/>
        <v>60.21</v>
      </c>
      <c r="M45" s="159">
        <f t="shared" si="8"/>
        <v>6.6074032500000008</v>
      </c>
      <c r="N45" s="162">
        <f>MAX(GasConns_PipelineDistance,G45/VLOOKUP(M45,Gas!$B$127:$D$131,3,TRUE))</f>
        <v>30.302003727704761</v>
      </c>
      <c r="P45" s="163">
        <f t="shared" si="12"/>
        <v>17.210256690235617</v>
      </c>
      <c r="Q45" s="163">
        <f t="shared" si="13"/>
        <v>115.07280992414965</v>
      </c>
      <c r="R45" s="163">
        <f t="shared" si="9"/>
        <v>2</v>
      </c>
      <c r="S45" s="163">
        <f t="shared" si="14"/>
        <v>2.6812499999999999</v>
      </c>
      <c r="T45" s="163">
        <f t="shared" si="15"/>
        <v>136.96431661438527</v>
      </c>
      <c r="U45" s="159">
        <f t="shared" si="16"/>
        <v>384.49111330351758</v>
      </c>
    </row>
    <row r="46" spans="1:21">
      <c r="A46" s="189" t="s">
        <v>314</v>
      </c>
      <c r="B46" s="159">
        <f t="shared" si="0"/>
        <v>389.58108520507813</v>
      </c>
      <c r="C46" s="160">
        <f t="shared" si="1"/>
        <v>6318</v>
      </c>
      <c r="D46" s="160">
        <f t="shared" si="2"/>
        <v>6994.0259999999998</v>
      </c>
      <c r="E46" s="160">
        <f t="shared" si="10"/>
        <v>2724.7402390325315</v>
      </c>
      <c r="F46" s="160">
        <f t="shared" si="3"/>
        <v>15.137445772402954</v>
      </c>
      <c r="G46" s="160">
        <f t="shared" si="4"/>
        <v>38146.363346455444</v>
      </c>
      <c r="I46" s="161">
        <f t="shared" si="5"/>
        <v>8.8301767005683889</v>
      </c>
      <c r="J46" s="161">
        <f t="shared" si="11"/>
        <v>2.7506193323798898</v>
      </c>
      <c r="K46" s="160">
        <f t="shared" si="6"/>
        <v>38146.363346455437</v>
      </c>
      <c r="L46" s="159">
        <f t="shared" si="7"/>
        <v>28.37</v>
      </c>
      <c r="M46" s="159">
        <f t="shared" si="8"/>
        <v>3.3812152500000008</v>
      </c>
      <c r="N46" s="162">
        <f>MAX(GasConns_PipelineDistance,G46/VLOOKUP(M46,Gas!$B$127:$D$131,3,TRUE))</f>
        <v>15.875</v>
      </c>
      <c r="P46" s="163">
        <f t="shared" si="12"/>
        <v>13.63726309183968</v>
      </c>
      <c r="Q46" s="163">
        <f t="shared" si="13"/>
        <v>60.285810600560104</v>
      </c>
      <c r="R46" s="163">
        <f t="shared" si="9"/>
        <v>2</v>
      </c>
      <c r="S46" s="163">
        <f t="shared" si="14"/>
        <v>2.6812499999999999</v>
      </c>
      <c r="T46" s="163">
        <f t="shared" si="15"/>
        <v>78.604323692399788</v>
      </c>
      <c r="U46" s="159">
        <f t="shared" si="16"/>
        <v>201.76627325482687</v>
      </c>
    </row>
    <row r="47" spans="1:21">
      <c r="A47" s="189" t="s">
        <v>315</v>
      </c>
      <c r="B47" s="159">
        <f t="shared" si="0"/>
        <v>489.2720947265625</v>
      </c>
      <c r="C47" s="160">
        <f t="shared" si="1"/>
        <v>6818</v>
      </c>
      <c r="D47" s="160">
        <f t="shared" si="2"/>
        <v>7547.5259999999998</v>
      </c>
      <c r="E47" s="160">
        <f t="shared" si="10"/>
        <v>3692.7938560231933</v>
      </c>
      <c r="F47" s="160">
        <f t="shared" si="3"/>
        <v>20.515521422351071</v>
      </c>
      <c r="G47" s="160">
        <f t="shared" si="4"/>
        <v>51699.113984324707</v>
      </c>
      <c r="I47" s="161">
        <f t="shared" si="5"/>
        <v>11.967387496371458</v>
      </c>
      <c r="J47" s="161">
        <f t="shared" si="11"/>
        <v>3.7278673487340095</v>
      </c>
      <c r="K47" s="160">
        <f t="shared" si="6"/>
        <v>51699.113984324707</v>
      </c>
      <c r="L47" s="159">
        <f t="shared" si="7"/>
        <v>26.6</v>
      </c>
      <c r="M47" s="159">
        <f t="shared" si="8"/>
        <v>3.2018700000000004</v>
      </c>
      <c r="N47" s="162">
        <f>MAX(GasConns_PipelineDistance,G47/VLOOKUP(M47,Gas!$B$127:$D$131,3,TRUE))</f>
        <v>20.942690733360873</v>
      </c>
      <c r="P47" s="163">
        <f t="shared" si="12"/>
        <v>18.482349486789435</v>
      </c>
      <c r="Q47" s="163">
        <f t="shared" si="13"/>
        <v>79.530525166456613</v>
      </c>
      <c r="R47" s="163">
        <f t="shared" si="9"/>
        <v>2</v>
      </c>
      <c r="S47" s="163">
        <f t="shared" si="14"/>
        <v>2.6812499999999999</v>
      </c>
      <c r="T47" s="163">
        <f t="shared" si="15"/>
        <v>102.69412465324605</v>
      </c>
      <c r="U47" s="159">
        <f t="shared" si="16"/>
        <v>209.89164466990152</v>
      </c>
    </row>
    <row r="48" spans="1:21">
      <c r="A48" s="189" t="s">
        <v>316</v>
      </c>
      <c r="B48" s="159">
        <f t="shared" si="0"/>
        <v>245.76321411132813</v>
      </c>
      <c r="C48" s="160">
        <f t="shared" si="1"/>
        <v>7836</v>
      </c>
      <c r="D48" s="160">
        <f t="shared" si="2"/>
        <v>8674.4519999999993</v>
      </c>
      <c r="E48" s="160">
        <f t="shared" si="10"/>
        <v>2131.8612041744386</v>
      </c>
      <c r="F48" s="160">
        <f t="shared" si="3"/>
        <v>11.843673356524659</v>
      </c>
      <c r="G48" s="160">
        <f t="shared" si="4"/>
        <v>29846.056858442142</v>
      </c>
      <c r="I48" s="161">
        <f t="shared" si="5"/>
        <v>6.9088094579727182</v>
      </c>
      <c r="J48" s="161">
        <f t="shared" si="11"/>
        <v>2.1521092389471157</v>
      </c>
      <c r="K48" s="160">
        <f t="shared" si="6"/>
        <v>29846.056858442142</v>
      </c>
      <c r="L48" s="159">
        <f t="shared" si="7"/>
        <v>11.35</v>
      </c>
      <c r="M48" s="159">
        <f t="shared" si="8"/>
        <v>1.6566637500000001</v>
      </c>
      <c r="N48" s="162">
        <f>MAX(GasConns_PipelineDistance,G48/VLOOKUP(M48,Gas!$B$127:$D$131,3,TRUE))</f>
        <v>15.875</v>
      </c>
      <c r="P48" s="163">
        <f t="shared" si="12"/>
        <v>10.669916970483683</v>
      </c>
      <c r="Q48" s="163">
        <f t="shared" si="13"/>
        <v>60.285810600560104</v>
      </c>
      <c r="R48" s="163">
        <f t="shared" si="9"/>
        <v>2</v>
      </c>
      <c r="S48" s="163">
        <f t="shared" si="14"/>
        <v>2.6812499999999999</v>
      </c>
      <c r="T48" s="163">
        <f t="shared" si="15"/>
        <v>75.636977571043786</v>
      </c>
      <c r="U48" s="159">
        <f t="shared" si="16"/>
        <v>307.76362461137506</v>
      </c>
    </row>
    <row r="49" spans="1:21">
      <c r="A49" s="189" t="s">
        <v>317</v>
      </c>
      <c r="B49" s="159">
        <f t="shared" si="0"/>
        <v>217.40798950195313</v>
      </c>
      <c r="C49" s="160">
        <f t="shared" si="1"/>
        <v>7868</v>
      </c>
      <c r="D49" s="160">
        <f t="shared" si="2"/>
        <v>8709.8760000000002</v>
      </c>
      <c r="E49" s="160">
        <f t="shared" si="10"/>
        <v>1893.5966299713136</v>
      </c>
      <c r="F49" s="160">
        <f t="shared" si="3"/>
        <v>10.51998127761841</v>
      </c>
      <c r="G49" s="160">
        <f t="shared" si="4"/>
        <v>26510.352819598389</v>
      </c>
      <c r="I49" s="161">
        <f t="shared" si="5"/>
        <v>6.1366557452774053</v>
      </c>
      <c r="J49" s="161">
        <f t="shared" si="11"/>
        <v>1.9115816706174895</v>
      </c>
      <c r="K49" s="160">
        <f t="shared" si="6"/>
        <v>26510.352819598393</v>
      </c>
      <c r="L49" s="159">
        <f t="shared" si="7"/>
        <v>6.9930000000000003</v>
      </c>
      <c r="M49" s="159">
        <f t="shared" si="8"/>
        <v>1.2151907250000002</v>
      </c>
      <c r="N49" s="162">
        <f>MAX(GasConns_PipelineDistance,G49/VLOOKUP(M49,Gas!$B$127:$D$131,3,TRUE))</f>
        <v>15.875</v>
      </c>
      <c r="P49" s="163">
        <f t="shared" si="12"/>
        <v>9.477408181085508</v>
      </c>
      <c r="Q49" s="163">
        <f t="shared" si="13"/>
        <v>60.285810600560104</v>
      </c>
      <c r="R49" s="163">
        <f t="shared" si="9"/>
        <v>2</v>
      </c>
      <c r="S49" s="163">
        <f t="shared" si="14"/>
        <v>2.6812499999999999</v>
      </c>
      <c r="T49" s="163">
        <f t="shared" si="15"/>
        <v>74.444468781645611</v>
      </c>
      <c r="U49" s="159">
        <f t="shared" si="16"/>
        <v>342.41827520776013</v>
      </c>
    </row>
    <row r="51" spans="1:21" ht="18">
      <c r="A51" s="151" t="s">
        <v>318</v>
      </c>
    </row>
    <row r="52" spans="1:21">
      <c r="A52" s="158" t="s">
        <v>319</v>
      </c>
    </row>
    <row r="53" spans="1:21">
      <c r="A53" s="158" t="s">
        <v>320</v>
      </c>
      <c r="B53" s="134">
        <v>7</v>
      </c>
      <c r="C53" s="158" t="s">
        <v>321</v>
      </c>
    </row>
    <row r="54" spans="1:21">
      <c r="A54" s="158" t="s">
        <v>322</v>
      </c>
      <c r="B54" s="134">
        <v>5</v>
      </c>
      <c r="C54" s="158" t="s">
        <v>323</v>
      </c>
      <c r="D54" s="73" t="s">
        <v>324</v>
      </c>
    </row>
    <row r="55" spans="1:21" ht="15">
      <c r="A55" s="168"/>
      <c r="B55" s="168"/>
      <c r="C55" s="168"/>
      <c r="D55" s="168"/>
      <c r="E55" s="168"/>
      <c r="F55" s="168"/>
      <c r="G55" s="168"/>
      <c r="H55" s="168"/>
      <c r="I55" s="168"/>
      <c r="J55" s="168"/>
      <c r="K55" s="168"/>
      <c r="L55" s="168"/>
      <c r="M55" s="168"/>
      <c r="N55" s="172"/>
      <c r="O55" s="168"/>
      <c r="P55" s="195" t="s">
        <v>295</v>
      </c>
      <c r="Q55" s="195"/>
      <c r="R55" s="195"/>
      <c r="S55" s="195"/>
      <c r="T55" s="195"/>
      <c r="U55" s="168"/>
    </row>
    <row r="56" spans="1:21" s="171" customFormat="1" ht="45">
      <c r="A56" s="173" t="s">
        <v>71</v>
      </c>
      <c r="B56" s="172" t="s">
        <v>296</v>
      </c>
      <c r="C56" s="172" t="s">
        <v>297</v>
      </c>
      <c r="D56" s="172" t="s">
        <v>298</v>
      </c>
      <c r="E56" s="172" t="s">
        <v>299</v>
      </c>
      <c r="F56" s="172" t="s">
        <v>300</v>
      </c>
      <c r="G56" s="172" t="s">
        <v>325</v>
      </c>
      <c r="H56" s="169" t="s">
        <v>326</v>
      </c>
      <c r="I56" s="172" t="s">
        <v>327</v>
      </c>
      <c r="J56" s="172"/>
      <c r="K56" s="172" t="s">
        <v>113</v>
      </c>
      <c r="L56" s="172"/>
      <c r="M56" s="172"/>
      <c r="N56" s="172" t="s">
        <v>283</v>
      </c>
      <c r="O56" s="172"/>
      <c r="P56" s="172" t="s">
        <v>272</v>
      </c>
      <c r="Q56" s="172" t="s">
        <v>275</v>
      </c>
      <c r="R56" s="172" t="s">
        <v>305</v>
      </c>
      <c r="S56" s="172" t="s">
        <v>306</v>
      </c>
      <c r="T56" s="172" t="s">
        <v>169</v>
      </c>
      <c r="U56" s="172" t="s">
        <v>307</v>
      </c>
    </row>
    <row r="57" spans="1:21">
      <c r="A57" s="189" t="s">
        <v>328</v>
      </c>
      <c r="B57" s="159">
        <f t="shared" ref="B57:B66" si="17">HLOOKUP($A57,ConfigParamsTable,ConfigRow_NetMW,FALSE)</f>
        <v>341.18865966796875</v>
      </c>
      <c r="C57" s="160">
        <f t="shared" ref="C57:C66" si="18">HLOOKUP($A57,ConfigParamsTable,ConfigRow_NetHR,FALSE)*1000</f>
        <v>9771</v>
      </c>
      <c r="D57" s="160">
        <f t="shared" ref="D57:D66" si="19">C57*NG_HHVonLHV</f>
        <v>10816.496999999999</v>
      </c>
      <c r="E57" s="160">
        <f>D57*B57/1000</f>
        <v>3690.4661137326048</v>
      </c>
      <c r="F57" s="160">
        <f t="shared" ref="F57:F66" si="20">E57/NG_GJperT/3.6</f>
        <v>20.502589520736691</v>
      </c>
      <c r="G57" s="158">
        <f t="shared" ref="G57:G66" si="21">F57/VLOOKUP(GasConn_SkinnyLateral_RefPressureMPA,$A$113:$C$118,3,FALSE)</f>
        <v>0.57812399956961125</v>
      </c>
      <c r="H57" s="170">
        <f t="shared" ref="H57:H66" si="22">SQRT(4*G57/3.14159/GasConn_SkinnyLateralVelocity)*1000</f>
        <v>324.27742967181626</v>
      </c>
      <c r="I57" s="158">
        <f>_xlfn.XLOOKUP(H57,$D$136:$D$140,$E$136:$E$140,,1)</f>
        <v>16</v>
      </c>
      <c r="K57" s="158">
        <v>0</v>
      </c>
      <c r="N57" s="162">
        <f t="shared" ref="N57:N66" si="23">GasConns_PipelineDistance</f>
        <v>15.875</v>
      </c>
      <c r="P57" s="163">
        <v>0</v>
      </c>
      <c r="Q57" s="163">
        <f>N57*$C$12*I57/1000000</f>
        <v>26.793693600248936</v>
      </c>
      <c r="R57" s="163">
        <f t="shared" ref="R57:R66" si="24">NG_FacilitiesCapex_DollarsMillions</f>
        <v>2</v>
      </c>
      <c r="S57" s="163">
        <v>0</v>
      </c>
      <c r="T57" s="163">
        <f>SUM(P57:S57)</f>
        <v>28.793693600248936</v>
      </c>
      <c r="U57" s="159">
        <f>T57/B57*1000</f>
        <v>84.392293777494885</v>
      </c>
    </row>
    <row r="58" spans="1:21">
      <c r="A58" s="189" t="s">
        <v>329</v>
      </c>
      <c r="B58" s="159">
        <f t="shared" si="17"/>
        <v>347.77304077148438</v>
      </c>
      <c r="C58" s="160">
        <f t="shared" si="18"/>
        <v>10057</v>
      </c>
      <c r="D58" s="160">
        <f t="shared" si="19"/>
        <v>11133.099</v>
      </c>
      <c r="E58" s="160">
        <f t="shared" ref="E58:E66" si="25">D58*B58/1000</f>
        <v>3871.7916924399719</v>
      </c>
      <c r="F58" s="160">
        <f t="shared" si="20"/>
        <v>21.509953846888731</v>
      </c>
      <c r="G58" s="158">
        <f t="shared" si="21"/>
        <v>0.60652926480060709</v>
      </c>
      <c r="H58" s="170">
        <f t="shared" si="22"/>
        <v>332.14835267251317</v>
      </c>
      <c r="I58" s="158">
        <f t="shared" ref="I58:I66" si="26">_xlfn.XLOOKUP(H58,$D$136:$D$140,$E$136:$E$140,,1)</f>
        <v>16</v>
      </c>
      <c r="K58" s="158">
        <v>0</v>
      </c>
      <c r="N58" s="162">
        <f t="shared" si="23"/>
        <v>15.875</v>
      </c>
      <c r="P58" s="163">
        <v>0</v>
      </c>
      <c r="Q58" s="163">
        <f t="shared" ref="Q58:Q66" si="27">N58*$C$12*I58/1000000</f>
        <v>26.793693600248936</v>
      </c>
      <c r="R58" s="163">
        <f t="shared" si="24"/>
        <v>2</v>
      </c>
      <c r="S58" s="163">
        <v>0</v>
      </c>
      <c r="T58" s="163">
        <f t="shared" ref="T58:T66" si="28">SUM(P58:S58)</f>
        <v>28.793693600248936</v>
      </c>
      <c r="U58" s="159">
        <f t="shared" ref="U58:U66" si="29">T58/B58*1000</f>
        <v>82.794495905646613</v>
      </c>
    </row>
    <row r="59" spans="1:21">
      <c r="A59" s="189" t="s">
        <v>330</v>
      </c>
      <c r="B59" s="159">
        <f t="shared" si="17"/>
        <v>258.24078369140625</v>
      </c>
      <c r="C59" s="160">
        <f t="shared" si="18"/>
        <v>9610</v>
      </c>
      <c r="D59" s="160">
        <f t="shared" si="19"/>
        <v>10638.27</v>
      </c>
      <c r="E59" s="160">
        <f t="shared" si="25"/>
        <v>2747.2351819207765</v>
      </c>
      <c r="F59" s="160">
        <f t="shared" si="20"/>
        <v>15.262417677337648</v>
      </c>
      <c r="G59" s="158">
        <f t="shared" si="21"/>
        <v>0.43036368366054728</v>
      </c>
      <c r="H59" s="170">
        <f t="shared" si="22"/>
        <v>279.78474468102331</v>
      </c>
      <c r="I59" s="158">
        <f t="shared" si="26"/>
        <v>12</v>
      </c>
      <c r="K59" s="158">
        <v>0</v>
      </c>
      <c r="N59" s="162">
        <f t="shared" si="23"/>
        <v>15.875</v>
      </c>
      <c r="P59" s="163">
        <v>0</v>
      </c>
      <c r="Q59" s="163">
        <f t="shared" si="27"/>
        <v>20.095270200186704</v>
      </c>
      <c r="R59" s="163">
        <f t="shared" si="24"/>
        <v>2</v>
      </c>
      <c r="S59" s="163">
        <v>0</v>
      </c>
      <c r="T59" s="163">
        <f t="shared" si="28"/>
        <v>22.095270200186704</v>
      </c>
      <c r="U59" s="159">
        <f t="shared" si="29"/>
        <v>85.560730897526284</v>
      </c>
    </row>
    <row r="60" spans="1:21">
      <c r="A60" s="189" t="s">
        <v>331</v>
      </c>
      <c r="B60" s="159">
        <f t="shared" si="17"/>
        <v>380.225830078125</v>
      </c>
      <c r="C60" s="160">
        <f t="shared" si="18"/>
        <v>9392</v>
      </c>
      <c r="D60" s="160">
        <f t="shared" si="19"/>
        <v>10396.944</v>
      </c>
      <c r="E60" s="160">
        <f t="shared" si="25"/>
        <v>3953.186662675781</v>
      </c>
      <c r="F60" s="160">
        <f t="shared" si="20"/>
        <v>21.962148125976562</v>
      </c>
      <c r="G60" s="158">
        <f t="shared" si="21"/>
        <v>0.61928006220326426</v>
      </c>
      <c r="H60" s="170">
        <f t="shared" si="22"/>
        <v>335.62149822049662</v>
      </c>
      <c r="I60" s="158">
        <f t="shared" si="26"/>
        <v>16</v>
      </c>
      <c r="K60" s="158">
        <v>0</v>
      </c>
      <c r="N60" s="162">
        <f t="shared" si="23"/>
        <v>15.875</v>
      </c>
      <c r="P60" s="163">
        <v>0</v>
      </c>
      <c r="Q60" s="163">
        <f t="shared" si="27"/>
        <v>26.793693600248936</v>
      </c>
      <c r="R60" s="163">
        <f t="shared" si="24"/>
        <v>2</v>
      </c>
      <c r="S60" s="163">
        <v>0</v>
      </c>
      <c r="T60" s="163">
        <f t="shared" si="28"/>
        <v>28.793693600248936</v>
      </c>
      <c r="U60" s="159">
        <f t="shared" si="29"/>
        <v>75.727873601676919</v>
      </c>
    </row>
    <row r="61" spans="1:21">
      <c r="A61" s="189" t="s">
        <v>332</v>
      </c>
      <c r="B61" s="159">
        <f t="shared" si="17"/>
        <v>264.081298828125</v>
      </c>
      <c r="C61" s="160">
        <f t="shared" si="18"/>
        <v>8980</v>
      </c>
      <c r="D61" s="160">
        <f t="shared" si="19"/>
        <v>9940.86</v>
      </c>
      <c r="E61" s="160">
        <f t="shared" si="25"/>
        <v>2625.1952202685552</v>
      </c>
      <c r="F61" s="160">
        <f t="shared" si="20"/>
        <v>14.584417890380861</v>
      </c>
      <c r="G61" s="158">
        <f t="shared" si="21"/>
        <v>0.41124571087245831</v>
      </c>
      <c r="H61" s="170">
        <f t="shared" si="22"/>
        <v>273.49973725868563</v>
      </c>
      <c r="I61" s="158">
        <f t="shared" si="26"/>
        <v>12</v>
      </c>
      <c r="K61" s="158">
        <v>0</v>
      </c>
      <c r="N61" s="162">
        <f t="shared" si="23"/>
        <v>15.875</v>
      </c>
      <c r="P61" s="163">
        <v>0</v>
      </c>
      <c r="Q61" s="163">
        <f t="shared" si="27"/>
        <v>20.095270200186704</v>
      </c>
      <c r="R61" s="163">
        <f t="shared" si="24"/>
        <v>2</v>
      </c>
      <c r="S61" s="163">
        <v>0</v>
      </c>
      <c r="T61" s="163">
        <f t="shared" si="28"/>
        <v>22.095270200186704</v>
      </c>
      <c r="U61" s="159">
        <f t="shared" si="29"/>
        <v>83.668439598849503</v>
      </c>
    </row>
    <row r="62" spans="1:21">
      <c r="A62" s="189" t="s">
        <v>333</v>
      </c>
      <c r="B62" s="159">
        <f t="shared" si="17"/>
        <v>356.21731567382813</v>
      </c>
      <c r="C62" s="160">
        <f t="shared" si="18"/>
        <v>8720</v>
      </c>
      <c r="D62" s="160">
        <f t="shared" si="19"/>
        <v>9653.0399999999991</v>
      </c>
      <c r="E62" s="160">
        <f t="shared" si="25"/>
        <v>3438.5799968920896</v>
      </c>
      <c r="F62" s="160">
        <f t="shared" si="20"/>
        <v>19.103222204956054</v>
      </c>
      <c r="G62" s="158">
        <f t="shared" si="21"/>
        <v>0.53866518737187163</v>
      </c>
      <c r="H62" s="170">
        <f t="shared" si="22"/>
        <v>313.0153800984159</v>
      </c>
      <c r="I62" s="158">
        <f t="shared" si="26"/>
        <v>14</v>
      </c>
      <c r="K62" s="158">
        <v>0</v>
      </c>
      <c r="N62" s="162">
        <f t="shared" si="23"/>
        <v>15.875</v>
      </c>
      <c r="P62" s="163">
        <v>0</v>
      </c>
      <c r="Q62" s="163">
        <f t="shared" si="27"/>
        <v>23.44448190021782</v>
      </c>
      <c r="R62" s="163">
        <f t="shared" si="24"/>
        <v>2</v>
      </c>
      <c r="S62" s="163">
        <v>0</v>
      </c>
      <c r="T62" s="163">
        <f t="shared" si="28"/>
        <v>25.44448190021782</v>
      </c>
      <c r="U62" s="159">
        <f t="shared" si="29"/>
        <v>71.429660436597544</v>
      </c>
    </row>
    <row r="63" spans="1:21">
      <c r="A63" s="189" t="s">
        <v>334</v>
      </c>
      <c r="B63" s="159">
        <f t="shared" si="17"/>
        <v>389.51309204101563</v>
      </c>
      <c r="C63" s="160">
        <f t="shared" si="18"/>
        <v>6319</v>
      </c>
      <c r="D63" s="160">
        <f t="shared" si="19"/>
        <v>6995.1329999999998</v>
      </c>
      <c r="E63" s="160">
        <f t="shared" si="25"/>
        <v>2724.6958840681459</v>
      </c>
      <c r="F63" s="160">
        <f t="shared" si="20"/>
        <v>15.137199355934143</v>
      </c>
      <c r="G63" s="158">
        <f t="shared" si="21"/>
        <v>0.42683282641366299</v>
      </c>
      <c r="H63" s="170">
        <f t="shared" si="22"/>
        <v>278.63465393715148</v>
      </c>
      <c r="I63" s="158">
        <f t="shared" si="26"/>
        <v>12</v>
      </c>
      <c r="K63" s="158">
        <v>0</v>
      </c>
      <c r="N63" s="162">
        <f t="shared" si="23"/>
        <v>15.875</v>
      </c>
      <c r="P63" s="163">
        <v>0</v>
      </c>
      <c r="Q63" s="163">
        <f t="shared" si="27"/>
        <v>20.095270200186704</v>
      </c>
      <c r="R63" s="163">
        <f t="shared" si="24"/>
        <v>2</v>
      </c>
      <c r="S63" s="163">
        <v>0</v>
      </c>
      <c r="T63" s="163">
        <f t="shared" si="28"/>
        <v>22.095270200186704</v>
      </c>
      <c r="U63" s="159">
        <f t="shared" si="29"/>
        <v>56.725359562137847</v>
      </c>
    </row>
    <row r="64" spans="1:21">
      <c r="A64" s="189" t="s">
        <v>335</v>
      </c>
      <c r="B64" s="159">
        <f t="shared" si="17"/>
        <v>489.26708984375</v>
      </c>
      <c r="C64" s="160">
        <f t="shared" si="18"/>
        <v>6818</v>
      </c>
      <c r="D64" s="160">
        <f t="shared" si="19"/>
        <v>7547.5259999999998</v>
      </c>
      <c r="E64" s="160">
        <f t="shared" si="25"/>
        <v>3692.7560815400388</v>
      </c>
      <c r="F64" s="160">
        <f t="shared" si="20"/>
        <v>20.515311564111329</v>
      </c>
      <c r="G64" s="158">
        <f t="shared" si="21"/>
        <v>0.57848273077237</v>
      </c>
      <c r="H64" s="170">
        <f t="shared" si="22"/>
        <v>324.37802261757196</v>
      </c>
      <c r="I64" s="158">
        <f t="shared" si="26"/>
        <v>16</v>
      </c>
      <c r="K64" s="158">
        <v>0</v>
      </c>
      <c r="N64" s="162">
        <f t="shared" si="23"/>
        <v>15.875</v>
      </c>
      <c r="P64" s="163">
        <v>0</v>
      </c>
      <c r="Q64" s="163">
        <f t="shared" si="27"/>
        <v>26.793693600248936</v>
      </c>
      <c r="R64" s="163">
        <f t="shared" si="24"/>
        <v>2</v>
      </c>
      <c r="S64" s="163">
        <v>0</v>
      </c>
      <c r="T64" s="163">
        <f t="shared" si="28"/>
        <v>28.793693600248936</v>
      </c>
      <c r="U64" s="159">
        <f t="shared" si="29"/>
        <v>58.850665000673466</v>
      </c>
    </row>
    <row r="65" spans="1:21">
      <c r="A65" s="189" t="s">
        <v>336</v>
      </c>
      <c r="B65" s="159">
        <f t="shared" si="17"/>
        <v>245.76321411132813</v>
      </c>
      <c r="C65" s="160">
        <f t="shared" si="18"/>
        <v>7836</v>
      </c>
      <c r="D65" s="160">
        <f t="shared" si="19"/>
        <v>8674.4519999999993</v>
      </c>
      <c r="E65" s="160">
        <f t="shared" si="25"/>
        <v>2131.8612041744386</v>
      </c>
      <c r="F65" s="160">
        <f t="shared" si="20"/>
        <v>11.843673356524659</v>
      </c>
      <c r="G65" s="158">
        <f t="shared" si="21"/>
        <v>0.33396326856882075</v>
      </c>
      <c r="H65" s="170">
        <f t="shared" si="22"/>
        <v>246.46518131228532</v>
      </c>
      <c r="I65" s="158">
        <f t="shared" si="26"/>
        <v>10</v>
      </c>
      <c r="K65" s="158">
        <v>0</v>
      </c>
      <c r="N65" s="162">
        <f t="shared" si="23"/>
        <v>15.875</v>
      </c>
      <c r="P65" s="163">
        <v>0</v>
      </c>
      <c r="Q65" s="163">
        <f t="shared" si="27"/>
        <v>16.746058500155584</v>
      </c>
      <c r="R65" s="163">
        <f t="shared" si="24"/>
        <v>2</v>
      </c>
      <c r="S65" s="163">
        <v>0</v>
      </c>
      <c r="T65" s="163">
        <f t="shared" si="28"/>
        <v>18.746058500155584</v>
      </c>
      <c r="U65" s="159">
        <f t="shared" si="29"/>
        <v>76.276909739892233</v>
      </c>
    </row>
    <row r="66" spans="1:21">
      <c r="A66" s="189" t="s">
        <v>337</v>
      </c>
      <c r="B66" s="159">
        <f t="shared" si="17"/>
        <v>217.40798950195313</v>
      </c>
      <c r="C66" s="160">
        <f t="shared" si="18"/>
        <v>7868</v>
      </c>
      <c r="D66" s="160">
        <f t="shared" si="19"/>
        <v>8709.8760000000002</v>
      </c>
      <c r="E66" s="160">
        <f t="shared" si="25"/>
        <v>1893.5966299713136</v>
      </c>
      <c r="F66" s="160">
        <f t="shared" si="20"/>
        <v>10.51998127761841</v>
      </c>
      <c r="G66" s="158">
        <f t="shared" si="21"/>
        <v>0.29663831709954913</v>
      </c>
      <c r="H66" s="170">
        <f t="shared" si="22"/>
        <v>232.2842946654506</v>
      </c>
      <c r="I66" s="158">
        <f t="shared" si="26"/>
        <v>10</v>
      </c>
      <c r="K66" s="158">
        <v>0</v>
      </c>
      <c r="N66" s="162">
        <f t="shared" si="23"/>
        <v>15.875</v>
      </c>
      <c r="P66" s="163">
        <v>0</v>
      </c>
      <c r="Q66" s="163">
        <f t="shared" si="27"/>
        <v>16.746058500155584</v>
      </c>
      <c r="R66" s="163">
        <f t="shared" si="24"/>
        <v>2</v>
      </c>
      <c r="S66" s="163">
        <v>0</v>
      </c>
      <c r="T66" s="163">
        <f t="shared" si="28"/>
        <v>18.746058500155584</v>
      </c>
      <c r="U66" s="159">
        <f t="shared" si="29"/>
        <v>86.225251165331144</v>
      </c>
    </row>
    <row r="68" spans="1:21">
      <c r="K68" s="73" t="s">
        <v>338</v>
      </c>
    </row>
    <row r="69" spans="1:21">
      <c r="K69" s="73"/>
    </row>
    <row r="71" spans="1:21" ht="18">
      <c r="A71" s="151" t="s">
        <v>49</v>
      </c>
      <c r="J71" s="40" t="s">
        <v>339</v>
      </c>
    </row>
    <row r="73" spans="1:21">
      <c r="A73" s="190"/>
      <c r="B73" s="190" t="s">
        <v>50</v>
      </c>
    </row>
    <row r="74" spans="1:21">
      <c r="A74" s="189" t="s">
        <v>49</v>
      </c>
      <c r="B74" s="158">
        <v>1.8188279999999999</v>
      </c>
    </row>
    <row r="80" spans="1:21" ht="18">
      <c r="A80" s="151" t="s">
        <v>340</v>
      </c>
    </row>
    <row r="81" spans="1:4">
      <c r="A81" s="73" t="s">
        <v>341</v>
      </c>
    </row>
    <row r="82" spans="1:4">
      <c r="A82" s="189" t="s">
        <v>342</v>
      </c>
      <c r="B82" s="134">
        <v>13.92</v>
      </c>
      <c r="C82" s="189" t="s">
        <v>343</v>
      </c>
      <c r="D82" s="73" t="s">
        <v>344</v>
      </c>
    </row>
    <row r="83" spans="1:4">
      <c r="D83" s="40" t="s">
        <v>345</v>
      </c>
    </row>
    <row r="89" spans="1:4" ht="18">
      <c r="A89" s="151" t="s">
        <v>346</v>
      </c>
    </row>
    <row r="90" spans="1:4">
      <c r="A90" s="158" t="s">
        <v>347</v>
      </c>
      <c r="B90" s="158">
        <v>1.107</v>
      </c>
    </row>
    <row r="91" spans="1:4">
      <c r="A91" s="158" t="s">
        <v>348</v>
      </c>
      <c r="B91" s="158">
        <v>50</v>
      </c>
    </row>
    <row r="92" spans="1:4" ht="18">
      <c r="A92" s="151"/>
    </row>
    <row r="93" spans="1:4" ht="18">
      <c r="A93" s="151"/>
    </row>
    <row r="95" spans="1:4">
      <c r="A95" s="158" t="s">
        <v>349</v>
      </c>
      <c r="C95" s="158" t="s">
        <v>350</v>
      </c>
    </row>
    <row r="96" spans="1:4">
      <c r="B96" s="158" t="s">
        <v>351</v>
      </c>
      <c r="C96" s="158">
        <v>1.31</v>
      </c>
    </row>
    <row r="97" spans="1:5">
      <c r="B97" s="158" t="s">
        <v>352</v>
      </c>
      <c r="C97" s="158">
        <v>41</v>
      </c>
      <c r="D97" s="158" t="s">
        <v>353</v>
      </c>
      <c r="E97" s="158">
        <f>C97+273.15</f>
        <v>314.14999999999998</v>
      </c>
    </row>
    <row r="98" spans="1:5">
      <c r="B98" s="158" t="s">
        <v>354</v>
      </c>
      <c r="C98" s="158">
        <v>13</v>
      </c>
      <c r="D98" s="158" t="s">
        <v>323</v>
      </c>
      <c r="E98" s="73" t="s">
        <v>355</v>
      </c>
    </row>
    <row r="99" spans="1:5">
      <c r="B99" s="158" t="s">
        <v>356</v>
      </c>
      <c r="C99" s="158">
        <v>3</v>
      </c>
      <c r="D99" s="158" t="s">
        <v>323</v>
      </c>
    </row>
    <row r="100" spans="1:5">
      <c r="B100" s="158" t="s">
        <v>357</v>
      </c>
      <c r="C100" s="158">
        <f>(C98+0.101325)/(C99+0.101325)</f>
        <v>4.2244282685626304</v>
      </c>
    </row>
    <row r="101" spans="1:5">
      <c r="B101" s="158" t="s">
        <v>358</v>
      </c>
      <c r="C101" s="158">
        <f>C100^((C96-1)/C96)</f>
        <v>1.4063146133637376</v>
      </c>
    </row>
    <row r="102" spans="1:5">
      <c r="B102" s="158" t="s">
        <v>359</v>
      </c>
      <c r="C102" s="158">
        <f>E102-273.15</f>
        <v>168.64373578821818</v>
      </c>
      <c r="E102" s="158">
        <f>C101*E97</f>
        <v>441.79373578821816</v>
      </c>
    </row>
    <row r="104" spans="1:5">
      <c r="B104" s="158" t="s">
        <v>360</v>
      </c>
      <c r="C104" s="158">
        <v>3.6</v>
      </c>
      <c r="E104" s="158" t="s">
        <v>361</v>
      </c>
    </row>
    <row r="105" spans="1:5">
      <c r="B105" s="158" t="s">
        <v>362</v>
      </c>
      <c r="C105" s="158">
        <f>2.31*C96/(C96-1)*(C102-C97)/16*C104</f>
        <v>280.35196611439858</v>
      </c>
      <c r="D105" s="158" t="s">
        <v>363</v>
      </c>
      <c r="E105" s="158" t="s">
        <v>364</v>
      </c>
    </row>
    <row r="106" spans="1:5">
      <c r="B106" s="158" t="s">
        <v>365</v>
      </c>
      <c r="C106" s="165">
        <v>0.9</v>
      </c>
    </row>
    <row r="107" spans="1:5">
      <c r="B107" s="158" t="s">
        <v>362</v>
      </c>
      <c r="C107" s="158">
        <f>C105/C106</f>
        <v>311.50218457155398</v>
      </c>
      <c r="D107" s="158" t="s">
        <v>363</v>
      </c>
      <c r="E107" s="158" t="s">
        <v>364</v>
      </c>
    </row>
    <row r="110" spans="1:5">
      <c r="A110" s="158" t="s">
        <v>366</v>
      </c>
    </row>
    <row r="111" spans="1:5">
      <c r="A111" s="143" t="s">
        <v>367</v>
      </c>
      <c r="B111" s="143" t="s">
        <v>368</v>
      </c>
      <c r="C111" s="143" t="s">
        <v>369</v>
      </c>
    </row>
    <row r="112" spans="1:5">
      <c r="A112" s="143" t="s">
        <v>370</v>
      </c>
      <c r="B112" s="143"/>
      <c r="C112" s="143" t="s">
        <v>371</v>
      </c>
    </row>
    <row r="113" spans="1:4">
      <c r="A113" s="158">
        <v>13</v>
      </c>
      <c r="B113" s="158">
        <v>0.8478</v>
      </c>
      <c r="C113" s="158">
        <v>99.417000000000002</v>
      </c>
    </row>
    <row r="114" spans="1:4">
      <c r="A114" s="158">
        <v>6</v>
      </c>
      <c r="B114" s="158">
        <v>0.875</v>
      </c>
      <c r="C114" s="158">
        <v>48.905000000000001</v>
      </c>
    </row>
    <row r="115" spans="1:4">
      <c r="A115" s="158">
        <v>5</v>
      </c>
      <c r="B115" s="158">
        <v>0.9254</v>
      </c>
      <c r="C115" s="158">
        <v>35.463999999999999</v>
      </c>
    </row>
    <row r="116" spans="1:4">
      <c r="A116" s="158">
        <v>4</v>
      </c>
      <c r="B116" s="158">
        <v>0.93910000000000005</v>
      </c>
      <c r="C116" s="158">
        <v>28.096</v>
      </c>
    </row>
    <row r="117" spans="1:4">
      <c r="A117" s="158">
        <v>3</v>
      </c>
      <c r="B117" s="158">
        <v>0.95330000000000004</v>
      </c>
      <c r="C117" s="158">
        <v>20.928999999999998</v>
      </c>
    </row>
    <row r="118" spans="1:4">
      <c r="A118" s="158">
        <v>1</v>
      </c>
      <c r="B118" s="158">
        <v>0.97670000000000001</v>
      </c>
      <c r="C118" s="158">
        <v>7.9089999999999998</v>
      </c>
    </row>
    <row r="120" spans="1:4">
      <c r="A120" s="158" t="s">
        <v>275</v>
      </c>
      <c r="B120" s="158">
        <v>36</v>
      </c>
      <c r="C120" s="158" t="s">
        <v>372</v>
      </c>
    </row>
    <row r="121" spans="1:4">
      <c r="B121" s="158">
        <v>894.94</v>
      </c>
      <c r="C121" s="158" t="s">
        <v>373</v>
      </c>
    </row>
    <row r="122" spans="1:4">
      <c r="B122" s="158">
        <f>3.14159*(B121/1000)^2/4</f>
        <v>0.62903868357343107</v>
      </c>
      <c r="C122" s="158" t="s">
        <v>374</v>
      </c>
    </row>
    <row r="123" spans="1:4">
      <c r="B123" s="158">
        <f>B122*1000</f>
        <v>629.03868357343106</v>
      </c>
      <c r="C123" s="158" t="s">
        <v>375</v>
      </c>
    </row>
    <row r="125" spans="1:4" ht="15">
      <c r="B125" s="166" t="s">
        <v>376</v>
      </c>
    </row>
    <row r="126" spans="1:4" ht="42.75">
      <c r="B126" s="156" t="s">
        <v>377</v>
      </c>
      <c r="C126" s="155" t="s">
        <v>378</v>
      </c>
      <c r="D126" s="155" t="s">
        <v>379</v>
      </c>
    </row>
    <row r="127" spans="1:4">
      <c r="B127" s="158">
        <v>1</v>
      </c>
      <c r="C127" s="160">
        <f>$B$123*($C$113-$C118)</f>
        <v>57562.071856437527</v>
      </c>
      <c r="D127" s="160">
        <f>C127*NG_GJperT/1000</f>
        <v>2878.1035928218766</v>
      </c>
    </row>
    <row r="128" spans="1:4">
      <c r="B128" s="158">
        <v>3</v>
      </c>
      <c r="C128" s="160">
        <f>$B$123*($C$113-$C117)</f>
        <v>49371.988196311453</v>
      </c>
      <c r="D128" s="160">
        <f>C128*NG_GJperT/1000</f>
        <v>2468.5994098155725</v>
      </c>
    </row>
    <row r="129" spans="2:5">
      <c r="B129" s="158">
        <v>4</v>
      </c>
      <c r="C129" s="160">
        <f>$B$123*($C$113-$C116)</f>
        <v>44863.667951140676</v>
      </c>
      <c r="D129" s="160">
        <f>C129*NG_GJperT/1000</f>
        <v>2243.1833975570339</v>
      </c>
    </row>
    <row r="130" spans="2:5">
      <c r="B130" s="158">
        <v>5</v>
      </c>
      <c r="C130" s="160">
        <f>$B$123*($C$113-$C115)</f>
        <v>40228.910930571641</v>
      </c>
      <c r="D130" s="160">
        <f>C130*NG_GJperT/1000</f>
        <v>2011.4455465285821</v>
      </c>
    </row>
    <row r="131" spans="2:5">
      <c r="B131" s="158">
        <v>6</v>
      </c>
      <c r="C131" s="160">
        <f>$B$123*($C$113-$C114)</f>
        <v>31774.00198466115</v>
      </c>
      <c r="D131" s="160">
        <f>C131*NG_GJperT/1000</f>
        <v>1588.7000992330575</v>
      </c>
    </row>
    <row r="134" spans="2:5">
      <c r="B134" s="158" t="s">
        <v>380</v>
      </c>
    </row>
    <row r="135" spans="2:5" ht="105">
      <c r="B135" s="144" t="s">
        <v>381</v>
      </c>
      <c r="C135" s="144" t="s">
        <v>382</v>
      </c>
      <c r="D135" s="144" t="s">
        <v>383</v>
      </c>
      <c r="E135" s="144" t="s">
        <v>381</v>
      </c>
    </row>
    <row r="136" spans="2:5">
      <c r="B136" s="158">
        <v>8</v>
      </c>
      <c r="C136" s="158">
        <v>219.1</v>
      </c>
      <c r="D136" s="158">
        <v>194</v>
      </c>
      <c r="E136" s="158">
        <v>8</v>
      </c>
    </row>
    <row r="137" spans="2:5">
      <c r="B137" s="158">
        <v>10</v>
      </c>
      <c r="C137" s="158">
        <v>273.10000000000002</v>
      </c>
      <c r="D137" s="158">
        <v>247</v>
      </c>
      <c r="E137" s="158">
        <v>10</v>
      </c>
    </row>
    <row r="138" spans="2:5">
      <c r="B138" s="158">
        <v>12</v>
      </c>
      <c r="C138" s="158">
        <v>323.89999999999998</v>
      </c>
      <c r="D138" s="158">
        <v>295</v>
      </c>
      <c r="E138" s="158">
        <v>12</v>
      </c>
    </row>
    <row r="139" spans="2:5">
      <c r="B139" s="158">
        <v>14</v>
      </c>
      <c r="C139" s="158">
        <v>355.6</v>
      </c>
      <c r="D139" s="158">
        <v>324</v>
      </c>
      <c r="E139" s="158">
        <v>14</v>
      </c>
    </row>
    <row r="140" spans="2:5">
      <c r="B140" s="158">
        <v>16</v>
      </c>
      <c r="C140" s="158">
        <v>406.4</v>
      </c>
      <c r="D140" s="158">
        <v>371</v>
      </c>
      <c r="E140" s="158">
        <v>16</v>
      </c>
    </row>
  </sheetData>
  <sortState xmlns:xlrd2="http://schemas.microsoft.com/office/spreadsheetml/2017/richdata2" ref="B127:D131">
    <sortCondition ref="B127:B131"/>
  </sortState>
  <mergeCells count="2">
    <mergeCell ref="P55:T55"/>
    <mergeCell ref="P38:T38"/>
  </mergeCells>
  <dataValidations disablePrompts="1" count="1">
    <dataValidation type="list" allowBlank="1" showInputMessage="1" showErrorMessage="1" sqref="B54" xr:uid="{A42FE84F-5D6B-4871-82DB-F5ADEBBA4D1D}">
      <formula1>$A$113:$A$118</formula1>
    </dataValidation>
  </dataValidations>
  <hyperlinks>
    <hyperlink ref="J71" r:id="rId1" xr:uid="{48DF81E1-6772-4BBA-96F0-C2D23459C847}"/>
    <hyperlink ref="D83" r:id="rId2" xr:uid="{E376B90A-ABF3-48E0-9C19-3D83839C9CAE}"/>
  </hyperlinks>
  <pageMargins left="0.7" right="0.7" top="0.75" bottom="0.75" header="0.3" footer="0.3"/>
  <pageSetup paperSize="9" orientation="portrait" r:id="rId3"/>
  <headerFooter>
    <oddHeader>&amp;C&amp;"Aptos"&amp;10&amp;KFF0000 OFFICIAL&amp;1#_x000D_</oddHead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C437D-015E-4EA6-AEF0-DCF81FD97791}">
  <dimension ref="A1:L28"/>
  <sheetViews>
    <sheetView workbookViewId="0">
      <selection activeCell="K18" sqref="K18"/>
    </sheetView>
  </sheetViews>
  <sheetFormatPr defaultRowHeight="14.25"/>
  <cols>
    <col min="1" max="1" width="13.875" customWidth="1"/>
  </cols>
  <sheetData>
    <row r="1" spans="1:12">
      <c r="A1" t="s">
        <v>384</v>
      </c>
    </row>
    <row r="2" spans="1:12">
      <c r="A2" t="s">
        <v>385</v>
      </c>
    </row>
    <row r="3" spans="1:12">
      <c r="A3" t="s">
        <v>386</v>
      </c>
    </row>
    <row r="4" spans="1:12">
      <c r="A4" t="s">
        <v>387</v>
      </c>
    </row>
    <row r="5" spans="1:12">
      <c r="B5" t="s">
        <v>388</v>
      </c>
      <c r="D5" t="s">
        <v>389</v>
      </c>
      <c r="F5" t="s">
        <v>390</v>
      </c>
    </row>
    <row r="6" spans="1:12">
      <c r="A6" s="41">
        <v>45664</v>
      </c>
      <c r="B6">
        <v>171.69000244140599</v>
      </c>
      <c r="D6">
        <v>50</v>
      </c>
      <c r="F6" s="180">
        <f>B6/1.1-D6</f>
        <v>106.08182040127815</v>
      </c>
      <c r="I6" t="s">
        <v>32</v>
      </c>
      <c r="J6" s="180">
        <f>AVERAGE(F6:F28)</f>
        <v>99.304346547484869</v>
      </c>
      <c r="K6" t="s">
        <v>391</v>
      </c>
    </row>
    <row r="7" spans="1:12">
      <c r="A7" s="41">
        <v>45670</v>
      </c>
      <c r="B7">
        <v>172.49000549316401</v>
      </c>
      <c r="D7">
        <v>50</v>
      </c>
      <c r="F7" s="180">
        <f t="shared" ref="F7:F28" si="0">B7/1.1-D7</f>
        <v>106.80909590287635</v>
      </c>
      <c r="I7" t="s">
        <v>392</v>
      </c>
      <c r="J7" s="134">
        <v>20</v>
      </c>
      <c r="K7" t="s">
        <v>391</v>
      </c>
      <c r="L7" t="s">
        <v>393</v>
      </c>
    </row>
    <row r="8" spans="1:12">
      <c r="A8" s="41">
        <v>45683</v>
      </c>
      <c r="B8">
        <v>179.13999938964801</v>
      </c>
      <c r="D8">
        <v>50</v>
      </c>
      <c r="F8" s="180">
        <f t="shared" si="0"/>
        <v>112.85454489968001</v>
      </c>
      <c r="I8" t="s">
        <v>394</v>
      </c>
      <c r="J8" s="180">
        <f>J6+J7</f>
        <v>119.30434654748487</v>
      </c>
      <c r="K8" t="s">
        <v>391</v>
      </c>
    </row>
    <row r="9" spans="1:12">
      <c r="A9" s="41">
        <v>45696</v>
      </c>
      <c r="B9">
        <v>172.30000305175801</v>
      </c>
      <c r="D9">
        <v>50.8</v>
      </c>
      <c r="F9" s="180">
        <f t="shared" si="0"/>
        <v>105.83636641068908</v>
      </c>
      <c r="I9" t="s">
        <v>369</v>
      </c>
      <c r="J9">
        <v>0.85</v>
      </c>
      <c r="K9" t="s">
        <v>395</v>
      </c>
    </row>
    <row r="10" spans="1:12">
      <c r="A10" s="41">
        <v>45704</v>
      </c>
      <c r="B10">
        <v>170.94999694824199</v>
      </c>
      <c r="D10">
        <v>50.8</v>
      </c>
      <c r="F10" s="180">
        <f t="shared" si="0"/>
        <v>104.60908813476543</v>
      </c>
      <c r="I10" t="s">
        <v>396</v>
      </c>
      <c r="J10">
        <v>45.6</v>
      </c>
      <c r="K10" t="s">
        <v>397</v>
      </c>
    </row>
    <row r="11" spans="1:12">
      <c r="A11" s="41">
        <v>45718</v>
      </c>
      <c r="B11">
        <v>169.05000305175801</v>
      </c>
      <c r="D11">
        <v>50.8</v>
      </c>
      <c r="F11" s="180">
        <f t="shared" si="0"/>
        <v>102.88182095614364</v>
      </c>
      <c r="I11" t="s">
        <v>398</v>
      </c>
      <c r="J11" s="123">
        <f>J8/100*1000/J9/J10</f>
        <v>30.780275167049762</v>
      </c>
      <c r="K11" t="s">
        <v>343</v>
      </c>
    </row>
    <row r="12" spans="1:12">
      <c r="A12" s="41">
        <v>45723</v>
      </c>
      <c r="B12">
        <v>166.86000061035199</v>
      </c>
      <c r="D12">
        <v>50.8</v>
      </c>
      <c r="F12" s="180">
        <f t="shared" si="0"/>
        <v>100.89090964577453</v>
      </c>
    </row>
    <row r="13" spans="1:12">
      <c r="A13" s="41">
        <v>45738</v>
      </c>
      <c r="B13">
        <v>163.05999755859401</v>
      </c>
      <c r="D13">
        <v>50.8</v>
      </c>
      <c r="F13" s="180">
        <f t="shared" si="0"/>
        <v>97.436361416903637</v>
      </c>
    </row>
    <row r="14" spans="1:12">
      <c r="A14" s="41">
        <v>45765</v>
      </c>
      <c r="B14">
        <v>157.38000488281301</v>
      </c>
      <c r="D14">
        <v>50.8</v>
      </c>
      <c r="F14" s="180">
        <f t="shared" si="0"/>
        <v>92.272731711648177</v>
      </c>
    </row>
    <row r="15" spans="1:12">
      <c r="A15" s="41">
        <v>45775</v>
      </c>
      <c r="B15">
        <v>158.14999389648401</v>
      </c>
      <c r="D15">
        <v>50.8</v>
      </c>
      <c r="F15" s="180">
        <f t="shared" si="0"/>
        <v>92.972721724076351</v>
      </c>
    </row>
    <row r="16" spans="1:12">
      <c r="A16" s="41">
        <v>45801</v>
      </c>
      <c r="B16">
        <v>156.64999389648401</v>
      </c>
      <c r="D16">
        <v>50.8</v>
      </c>
      <c r="F16" s="180">
        <f t="shared" si="0"/>
        <v>91.609085360440005</v>
      </c>
    </row>
    <row r="17" spans="1:6">
      <c r="A17" s="41">
        <v>45814</v>
      </c>
      <c r="B17">
        <v>155.78999328613301</v>
      </c>
      <c r="D17">
        <v>50.8</v>
      </c>
      <c r="F17" s="180">
        <f t="shared" si="0"/>
        <v>90.827266623757268</v>
      </c>
    </row>
    <row r="18" spans="1:6">
      <c r="A18" s="41">
        <v>45825</v>
      </c>
      <c r="B18">
        <v>159.42999267578099</v>
      </c>
      <c r="D18">
        <v>50.8</v>
      </c>
      <c r="F18" s="180">
        <f t="shared" si="0"/>
        <v>94.136356977982715</v>
      </c>
    </row>
    <row r="19" spans="1:6">
      <c r="A19" s="41">
        <v>45843</v>
      </c>
      <c r="B19">
        <v>162.97999572753901</v>
      </c>
      <c r="D19">
        <v>50.8</v>
      </c>
      <c r="F19" s="180">
        <f t="shared" si="0"/>
        <v>97.363632479580914</v>
      </c>
    </row>
    <row r="20" spans="1:6">
      <c r="A20" s="41">
        <v>45873</v>
      </c>
      <c r="B20">
        <v>169.22000122070301</v>
      </c>
      <c r="D20">
        <v>51.6</v>
      </c>
      <c r="F20" s="180">
        <f t="shared" si="0"/>
        <v>102.23636474609364</v>
      </c>
    </row>
    <row r="21" spans="1:6">
      <c r="A21" s="41">
        <v>45891</v>
      </c>
      <c r="B21">
        <v>161.38000488281301</v>
      </c>
      <c r="D21">
        <v>51.6</v>
      </c>
      <c r="F21" s="180">
        <f t="shared" si="0"/>
        <v>95.109095348011834</v>
      </c>
    </row>
    <row r="22" spans="1:6">
      <c r="A22" s="41">
        <v>45902</v>
      </c>
      <c r="B22">
        <v>163.42999267578099</v>
      </c>
      <c r="D22">
        <v>51.6</v>
      </c>
      <c r="F22" s="180">
        <f t="shared" si="0"/>
        <v>96.972720614346343</v>
      </c>
    </row>
    <row r="23" spans="1:6">
      <c r="A23" s="41">
        <v>45919</v>
      </c>
      <c r="B23">
        <v>164.330001831055</v>
      </c>
      <c r="D23">
        <v>51.6</v>
      </c>
      <c r="F23" s="180">
        <f t="shared" si="0"/>
        <v>97.790910755504541</v>
      </c>
    </row>
    <row r="24" spans="1:6">
      <c r="A24" s="41">
        <v>45926</v>
      </c>
      <c r="B24">
        <v>163.88999938964801</v>
      </c>
      <c r="D24">
        <v>51.6</v>
      </c>
      <c r="F24" s="180">
        <f t="shared" si="0"/>
        <v>97.390908536043639</v>
      </c>
    </row>
    <row r="25" spans="1:6">
      <c r="A25" s="41">
        <v>45961</v>
      </c>
      <c r="B25">
        <v>169.27999877929699</v>
      </c>
      <c r="D25">
        <v>51.6</v>
      </c>
      <c r="F25" s="180">
        <f t="shared" si="0"/>
        <v>102.29090798117906</v>
      </c>
    </row>
    <row r="26" spans="1:6">
      <c r="A26" s="41">
        <v>45985</v>
      </c>
      <c r="B26">
        <v>174.97999572753901</v>
      </c>
      <c r="D26">
        <v>51.6</v>
      </c>
      <c r="F26" s="180">
        <f t="shared" si="0"/>
        <v>107.47272338867182</v>
      </c>
    </row>
    <row r="27" spans="1:6">
      <c r="A27" s="41">
        <v>45995</v>
      </c>
      <c r="B27">
        <v>164.69999694824199</v>
      </c>
      <c r="D27">
        <v>51.6</v>
      </c>
      <c r="F27" s="180">
        <f t="shared" si="0"/>
        <v>98.127269952947245</v>
      </c>
    </row>
    <row r="28" spans="1:6">
      <c r="A28" s="41">
        <v>46015</v>
      </c>
      <c r="B28">
        <v>155.78999328613301</v>
      </c>
      <c r="D28">
        <v>51.6</v>
      </c>
      <c r="F28" s="180">
        <f t="shared" si="0"/>
        <v>90.027266623757271</v>
      </c>
    </row>
  </sheetData>
  <pageMargins left="0.7" right="0.7" top="0.75" bottom="0.75" header="0.3" footer="0.3"/>
  <pageSetup paperSize="9" orientation="portrait" r:id="rId1"/>
  <headerFooter>
    <oddHeader>&amp;C&amp;"Aptos"&amp;10&amp;KFF0000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15682-A0B0-4255-827D-6FB0A48285D0}">
  <dimension ref="A2:V914"/>
  <sheetViews>
    <sheetView topLeftCell="A26" workbookViewId="0">
      <selection activeCell="I21" sqref="I21"/>
    </sheetView>
  </sheetViews>
  <sheetFormatPr defaultRowHeight="14.25"/>
  <cols>
    <col min="2" max="2" width="13.375" customWidth="1"/>
    <col min="19" max="19" width="10.375" bestFit="1" customWidth="1"/>
  </cols>
  <sheetData>
    <row r="2" spans="1:21">
      <c r="A2" t="s">
        <v>399</v>
      </c>
    </row>
    <row r="3" spans="1:21">
      <c r="B3" t="s">
        <v>400</v>
      </c>
      <c r="C3" t="s">
        <v>401</v>
      </c>
      <c r="D3" s="40" t="s">
        <v>402</v>
      </c>
    </row>
    <row r="4" spans="1:21">
      <c r="B4" t="s">
        <v>403</v>
      </c>
    </row>
    <row r="5" spans="1:21">
      <c r="B5" t="s">
        <v>404</v>
      </c>
      <c r="C5" t="s">
        <v>401</v>
      </c>
      <c r="D5" s="40" t="s">
        <v>405</v>
      </c>
    </row>
    <row r="13" spans="1:21">
      <c r="A13" s="102" t="s">
        <v>406</v>
      </c>
      <c r="B13" s="103"/>
      <c r="F13" s="113" t="s">
        <v>407</v>
      </c>
      <c r="G13" s="117"/>
      <c r="U13" t="s">
        <v>408</v>
      </c>
    </row>
    <row r="14" spans="1:21" ht="24">
      <c r="A14" s="107" t="s">
        <v>409</v>
      </c>
      <c r="B14" s="106" t="s">
        <v>410</v>
      </c>
      <c r="F14" s="114" t="s">
        <v>409</v>
      </c>
      <c r="G14" s="114" t="s">
        <v>411</v>
      </c>
      <c r="S14" s="120">
        <v>46022</v>
      </c>
      <c r="T14" s="121">
        <v>3.5999999999999997E-2</v>
      </c>
      <c r="U14" s="123">
        <f>G438</f>
        <v>100.32</v>
      </c>
    </row>
    <row r="15" spans="1:21" ht="36">
      <c r="A15" s="107" t="s">
        <v>412</v>
      </c>
      <c r="B15" s="110" t="s">
        <v>413</v>
      </c>
      <c r="F15" s="114" t="s">
        <v>412</v>
      </c>
      <c r="G15" s="114" t="s">
        <v>414</v>
      </c>
      <c r="S15" s="120">
        <v>46203</v>
      </c>
      <c r="T15" s="121">
        <v>4.8000000000000001E-2</v>
      </c>
      <c r="U15" s="123">
        <f>U14*(1+T15/2)</f>
        <v>102.72767999999999</v>
      </c>
    </row>
    <row r="16" spans="1:21">
      <c r="A16" s="107" t="s">
        <v>415</v>
      </c>
      <c r="B16" s="107" t="s">
        <v>416</v>
      </c>
      <c r="F16" s="114" t="s">
        <v>415</v>
      </c>
      <c r="G16" s="114" t="s">
        <v>417</v>
      </c>
      <c r="S16" s="120">
        <v>46387</v>
      </c>
      <c r="T16" s="93">
        <v>0.04</v>
      </c>
      <c r="U16" s="123">
        <f t="shared" ref="U16:U22" si="0">U15*(1+T16/2)</f>
        <v>104.7822336</v>
      </c>
    </row>
    <row r="17" spans="1:22">
      <c r="A17" s="107" t="s">
        <v>418</v>
      </c>
      <c r="B17" s="106" t="s">
        <v>419</v>
      </c>
      <c r="F17" s="114" t="s">
        <v>418</v>
      </c>
      <c r="G17" s="114" t="s">
        <v>420</v>
      </c>
      <c r="S17" s="120">
        <v>46568</v>
      </c>
      <c r="T17" s="121">
        <v>2.4E-2</v>
      </c>
      <c r="U17" s="123">
        <f t="shared" si="0"/>
        <v>106.0396204032</v>
      </c>
    </row>
    <row r="18" spans="1:22" ht="60">
      <c r="A18" s="107" t="s">
        <v>421</v>
      </c>
      <c r="B18" s="107" t="s">
        <v>422</v>
      </c>
      <c r="F18" s="114" t="s">
        <v>421</v>
      </c>
      <c r="G18" s="114" t="s">
        <v>423</v>
      </c>
      <c r="S18" s="120">
        <v>46752</v>
      </c>
      <c r="T18" s="121">
        <v>2.4E-2</v>
      </c>
      <c r="U18" s="123">
        <f t="shared" si="0"/>
        <v>107.31209584803841</v>
      </c>
    </row>
    <row r="19" spans="1:22">
      <c r="A19" s="107"/>
      <c r="B19" s="107"/>
      <c r="F19" s="115"/>
      <c r="G19" s="117"/>
      <c r="S19" s="120">
        <v>46934</v>
      </c>
      <c r="T19" s="121">
        <v>2.5000000000000001E-2</v>
      </c>
      <c r="U19" s="123">
        <f t="shared" si="0"/>
        <v>108.65349704613888</v>
      </c>
    </row>
    <row r="20" spans="1:22">
      <c r="A20" s="107"/>
      <c r="B20" s="107"/>
      <c r="F20" s="115"/>
      <c r="G20" s="118"/>
      <c r="S20" s="120">
        <v>47118</v>
      </c>
      <c r="T20" s="122">
        <v>2.5000000000000001E-2</v>
      </c>
      <c r="U20" s="123">
        <f t="shared" si="0"/>
        <v>110.01166575921562</v>
      </c>
      <c r="V20" s="73" t="s">
        <v>424</v>
      </c>
    </row>
    <row r="21" spans="1:22">
      <c r="A21" s="106" t="s">
        <v>425</v>
      </c>
      <c r="B21" s="108" t="s">
        <v>426</v>
      </c>
      <c r="F21" s="115" t="s">
        <v>425</v>
      </c>
      <c r="G21" s="119" t="s">
        <v>427</v>
      </c>
      <c r="S21" s="120">
        <v>47299</v>
      </c>
      <c r="T21" s="122">
        <v>2.5000000000000001E-2</v>
      </c>
      <c r="U21" s="123">
        <f t="shared" si="0"/>
        <v>111.38681158120581</v>
      </c>
      <c r="V21" s="73" t="s">
        <v>424</v>
      </c>
    </row>
    <row r="22" spans="1:22" ht="24">
      <c r="A22" s="107" t="s">
        <v>428</v>
      </c>
      <c r="B22" s="112">
        <v>46224</v>
      </c>
      <c r="F22" s="115" t="s">
        <v>428</v>
      </c>
      <c r="G22" s="117" t="s">
        <v>429</v>
      </c>
      <c r="S22" s="120">
        <v>47483</v>
      </c>
      <c r="T22" s="122">
        <v>2.5000000000000001E-2</v>
      </c>
      <c r="U22" s="123">
        <f t="shared" si="0"/>
        <v>112.77914672597088</v>
      </c>
      <c r="V22" s="73" t="s">
        <v>424</v>
      </c>
    </row>
    <row r="23" spans="1:22">
      <c r="A23" s="107" t="s">
        <v>430</v>
      </c>
      <c r="B23" s="106" t="s">
        <v>431</v>
      </c>
      <c r="F23" s="115" t="s">
        <v>430</v>
      </c>
      <c r="G23" s="117" t="s">
        <v>432</v>
      </c>
    </row>
    <row r="24" spans="1:22">
      <c r="A24" s="109">
        <v>44929</v>
      </c>
      <c r="B24" s="111">
        <v>0.68279999999999996</v>
      </c>
      <c r="F24" s="116">
        <v>8217</v>
      </c>
      <c r="G24" s="118">
        <v>1.93</v>
      </c>
    </row>
    <row r="25" spans="1:22">
      <c r="A25" s="109">
        <v>44930</v>
      </c>
      <c r="B25" s="111">
        <v>0.68089999999999995</v>
      </c>
      <c r="F25" s="116">
        <v>8309</v>
      </c>
      <c r="G25" s="118">
        <v>1.93</v>
      </c>
    </row>
    <row r="26" spans="1:22">
      <c r="A26" s="109">
        <v>44931</v>
      </c>
      <c r="B26" s="111">
        <v>0.68149999999999999</v>
      </c>
      <c r="F26" s="116">
        <v>8401</v>
      </c>
      <c r="G26" s="118">
        <v>1.91</v>
      </c>
    </row>
    <row r="27" spans="1:22">
      <c r="A27" s="109">
        <v>44932</v>
      </c>
      <c r="B27" s="111">
        <v>0.67689999999999995</v>
      </c>
      <c r="F27" s="116">
        <v>8491</v>
      </c>
      <c r="G27" s="118">
        <v>1.92</v>
      </c>
    </row>
    <row r="28" spans="1:22">
      <c r="A28" s="109">
        <v>44935</v>
      </c>
      <c r="B28" s="111">
        <v>0.69289999999999996</v>
      </c>
      <c r="F28" s="116">
        <v>8582</v>
      </c>
      <c r="G28" s="118">
        <v>1.98</v>
      </c>
    </row>
    <row r="29" spans="1:22">
      <c r="A29" s="109">
        <v>44936</v>
      </c>
      <c r="B29" s="111">
        <v>0.69040000000000001</v>
      </c>
      <c r="F29" s="116">
        <v>8674</v>
      </c>
      <c r="G29" s="118">
        <v>2</v>
      </c>
    </row>
    <row r="30" spans="1:22">
      <c r="A30" s="109">
        <v>44937</v>
      </c>
      <c r="B30" s="111">
        <v>0.69110000000000005</v>
      </c>
      <c r="F30" s="116">
        <v>8766</v>
      </c>
      <c r="G30" s="118">
        <v>2</v>
      </c>
    </row>
    <row r="31" spans="1:22">
      <c r="A31" s="109">
        <v>44938</v>
      </c>
      <c r="B31" s="111">
        <v>0.69230000000000003</v>
      </c>
      <c r="F31" s="116">
        <v>8857</v>
      </c>
      <c r="G31" s="118">
        <v>1.94</v>
      </c>
    </row>
    <row r="32" spans="1:22">
      <c r="A32" s="109">
        <v>44939</v>
      </c>
      <c r="B32" s="111">
        <v>0.69550000000000001</v>
      </c>
      <c r="F32" s="116">
        <v>8948</v>
      </c>
      <c r="G32" s="118">
        <v>1.94</v>
      </c>
    </row>
    <row r="33" spans="1:7">
      <c r="A33" s="109">
        <v>44942</v>
      </c>
      <c r="B33" s="111">
        <v>0.69879999999999998</v>
      </c>
      <c r="F33" s="116">
        <v>9040</v>
      </c>
      <c r="G33" s="118">
        <v>1.93</v>
      </c>
    </row>
    <row r="34" spans="1:7">
      <c r="A34" s="109">
        <v>44943</v>
      </c>
      <c r="B34" s="111">
        <v>0.69730000000000003</v>
      </c>
      <c r="F34" s="116">
        <v>9132</v>
      </c>
      <c r="G34" s="118">
        <v>1.93</v>
      </c>
    </row>
    <row r="35" spans="1:7">
      <c r="A35" s="109">
        <v>44944</v>
      </c>
      <c r="B35" s="111">
        <v>0.69940000000000002</v>
      </c>
      <c r="F35" s="116">
        <v>9222</v>
      </c>
      <c r="G35" s="118">
        <v>1.96</v>
      </c>
    </row>
    <row r="36" spans="1:7">
      <c r="A36" s="109">
        <v>44945</v>
      </c>
      <c r="B36" s="111">
        <v>0.69040000000000001</v>
      </c>
      <c r="F36" s="116">
        <v>9313</v>
      </c>
      <c r="G36" s="118">
        <v>1.98</v>
      </c>
    </row>
    <row r="37" spans="1:7">
      <c r="A37" s="109">
        <v>44946</v>
      </c>
      <c r="B37" s="111">
        <v>0.69179999999999997</v>
      </c>
      <c r="F37" s="116">
        <v>9405</v>
      </c>
      <c r="G37" s="118">
        <v>1.99</v>
      </c>
    </row>
    <row r="38" spans="1:7">
      <c r="A38" s="109">
        <v>44949</v>
      </c>
      <c r="B38" s="111">
        <v>0.69830000000000003</v>
      </c>
      <c r="F38" s="116">
        <v>9497</v>
      </c>
      <c r="G38" s="118">
        <v>1.98</v>
      </c>
    </row>
    <row r="39" spans="1:7">
      <c r="A39" s="109">
        <v>44950</v>
      </c>
      <c r="B39" s="111">
        <v>0.70330000000000004</v>
      </c>
      <c r="F39" s="116">
        <v>9587</v>
      </c>
      <c r="G39" s="118">
        <v>1.99</v>
      </c>
    </row>
    <row r="40" spans="1:7">
      <c r="A40" s="109">
        <v>44951</v>
      </c>
      <c r="B40" s="111">
        <v>0.71020000000000005</v>
      </c>
      <c r="F40" s="116">
        <v>9678</v>
      </c>
      <c r="G40" s="118">
        <v>2.0299999999999998</v>
      </c>
    </row>
    <row r="41" spans="1:7">
      <c r="A41" s="109">
        <v>44953</v>
      </c>
      <c r="B41" s="111">
        <v>0.7107</v>
      </c>
      <c r="F41" s="116">
        <v>9770</v>
      </c>
      <c r="G41" s="118">
        <v>2</v>
      </c>
    </row>
    <row r="42" spans="1:7">
      <c r="A42" s="109">
        <v>44956</v>
      </c>
      <c r="B42" s="111">
        <v>0.70920000000000005</v>
      </c>
      <c r="F42" s="116">
        <v>9862</v>
      </c>
      <c r="G42" s="118">
        <v>1.99</v>
      </c>
    </row>
    <row r="43" spans="1:7">
      <c r="A43" s="109">
        <v>44957</v>
      </c>
      <c r="B43" s="111">
        <v>0.70369999999999999</v>
      </c>
      <c r="F43" s="116">
        <v>9952</v>
      </c>
      <c r="G43" s="118">
        <v>1.98</v>
      </c>
    </row>
    <row r="44" spans="1:7">
      <c r="A44" s="109">
        <v>44958</v>
      </c>
      <c r="B44" s="111">
        <v>0.70679999999999998</v>
      </c>
      <c r="F44" s="116">
        <v>10043</v>
      </c>
      <c r="G44" s="118">
        <v>1.97</v>
      </c>
    </row>
    <row r="45" spans="1:7">
      <c r="A45" s="109">
        <v>44959</v>
      </c>
      <c r="B45" s="111">
        <v>0.71499999999999997</v>
      </c>
      <c r="F45" s="116">
        <v>10135</v>
      </c>
      <c r="G45" s="118">
        <v>1.99</v>
      </c>
    </row>
    <row r="46" spans="1:7">
      <c r="A46" s="109">
        <v>44960</v>
      </c>
      <c r="B46" s="111">
        <v>0.70620000000000005</v>
      </c>
      <c r="F46" s="116">
        <v>10227</v>
      </c>
      <c r="G46" s="118">
        <v>2</v>
      </c>
    </row>
    <row r="47" spans="1:7">
      <c r="A47" s="109">
        <v>44963</v>
      </c>
      <c r="B47" s="111">
        <v>0.69430000000000003</v>
      </c>
      <c r="F47" s="116">
        <v>10318</v>
      </c>
      <c r="G47" s="118">
        <v>2</v>
      </c>
    </row>
    <row r="48" spans="1:7">
      <c r="A48" s="109">
        <v>44964</v>
      </c>
      <c r="B48" s="111">
        <v>0.69310000000000005</v>
      </c>
      <c r="F48" s="116">
        <v>10409</v>
      </c>
      <c r="G48" s="118">
        <v>2.0099999999999998</v>
      </c>
    </row>
    <row r="49" spans="1:7">
      <c r="A49" s="109">
        <v>44965</v>
      </c>
      <c r="B49" s="111">
        <v>0.69640000000000002</v>
      </c>
      <c r="F49" s="116">
        <v>10501</v>
      </c>
      <c r="G49" s="118">
        <v>2</v>
      </c>
    </row>
    <row r="50" spans="1:7">
      <c r="A50" s="109">
        <v>44966</v>
      </c>
      <c r="B50" s="111">
        <v>0.69540000000000002</v>
      </c>
      <c r="F50" s="116">
        <v>10593</v>
      </c>
      <c r="G50" s="118">
        <v>2</v>
      </c>
    </row>
    <row r="51" spans="1:7">
      <c r="A51" s="109">
        <v>44967</v>
      </c>
      <c r="B51" s="111">
        <v>0.69230000000000003</v>
      </c>
      <c r="F51" s="116">
        <v>10683</v>
      </c>
      <c r="G51" s="118">
        <v>2.0499999999999998</v>
      </c>
    </row>
    <row r="52" spans="1:7">
      <c r="A52" s="109">
        <v>44970</v>
      </c>
      <c r="B52" s="111">
        <v>0.69079999999999997</v>
      </c>
      <c r="F52" s="116">
        <v>10774</v>
      </c>
      <c r="G52" s="118">
        <v>2.0499999999999998</v>
      </c>
    </row>
    <row r="53" spans="1:7">
      <c r="A53" s="109">
        <v>44971</v>
      </c>
      <c r="B53" s="111">
        <v>0.69750000000000001</v>
      </c>
      <c r="F53" s="116">
        <v>10866</v>
      </c>
      <c r="G53" s="118">
        <v>2.0499999999999998</v>
      </c>
    </row>
    <row r="54" spans="1:7">
      <c r="A54" s="109">
        <v>44972</v>
      </c>
      <c r="B54" s="111">
        <v>0.69369999999999998</v>
      </c>
      <c r="F54" s="116">
        <v>10958</v>
      </c>
      <c r="G54" s="118">
        <v>2.0499999999999998</v>
      </c>
    </row>
    <row r="55" spans="1:7">
      <c r="A55" s="109">
        <v>44973</v>
      </c>
      <c r="B55" s="111">
        <v>0.69220000000000004</v>
      </c>
      <c r="F55" s="116">
        <v>11048</v>
      </c>
      <c r="G55" s="118">
        <v>1.99</v>
      </c>
    </row>
    <row r="56" spans="1:7">
      <c r="A56" s="109">
        <v>44974</v>
      </c>
      <c r="B56" s="111">
        <v>0.68430000000000002</v>
      </c>
      <c r="F56" s="116">
        <v>11139</v>
      </c>
      <c r="G56" s="118">
        <v>1.97</v>
      </c>
    </row>
    <row r="57" spans="1:7">
      <c r="A57" s="109">
        <v>44977</v>
      </c>
      <c r="B57" s="111">
        <v>0.68920000000000003</v>
      </c>
      <c r="F57" s="116">
        <v>11231</v>
      </c>
      <c r="G57" s="118">
        <v>1.91</v>
      </c>
    </row>
    <row r="58" spans="1:7">
      <c r="A58" s="109">
        <v>44978</v>
      </c>
      <c r="B58" s="111">
        <v>0.68959999999999999</v>
      </c>
      <c r="F58" s="116">
        <v>11323</v>
      </c>
      <c r="G58" s="118">
        <v>1.84</v>
      </c>
    </row>
    <row r="59" spans="1:7">
      <c r="A59" s="109">
        <v>44979</v>
      </c>
      <c r="B59" s="111">
        <v>0.68389999999999995</v>
      </c>
      <c r="F59" s="116">
        <v>11413</v>
      </c>
      <c r="G59" s="118">
        <v>1.79</v>
      </c>
    </row>
    <row r="60" spans="1:7">
      <c r="A60" s="109">
        <v>44980</v>
      </c>
      <c r="B60" s="111">
        <v>0.68300000000000005</v>
      </c>
      <c r="F60" s="116">
        <v>11504</v>
      </c>
      <c r="G60" s="118">
        <v>1.74</v>
      </c>
    </row>
    <row r="61" spans="1:7">
      <c r="A61" s="109">
        <v>44981</v>
      </c>
      <c r="B61" s="111">
        <v>0.68140000000000001</v>
      </c>
      <c r="F61" s="116">
        <v>11596</v>
      </c>
      <c r="G61" s="118">
        <v>1.69</v>
      </c>
    </row>
    <row r="62" spans="1:7">
      <c r="A62" s="109">
        <v>44984</v>
      </c>
      <c r="B62" s="111">
        <v>0.67110000000000003</v>
      </c>
      <c r="F62" s="116">
        <v>11688</v>
      </c>
      <c r="G62" s="118">
        <v>1.67</v>
      </c>
    </row>
    <row r="63" spans="1:7">
      <c r="A63" s="109">
        <v>44985</v>
      </c>
      <c r="B63" s="111">
        <v>0.67300000000000004</v>
      </c>
      <c r="F63" s="116">
        <v>11779</v>
      </c>
      <c r="G63" s="118">
        <v>1.67</v>
      </c>
    </row>
    <row r="64" spans="1:7">
      <c r="A64" s="109">
        <v>44986</v>
      </c>
      <c r="B64" s="111">
        <v>0.67500000000000004</v>
      </c>
      <c r="F64" s="116">
        <v>11870</v>
      </c>
      <c r="G64" s="118">
        <v>1.65</v>
      </c>
    </row>
    <row r="65" spans="1:7">
      <c r="A65" s="109">
        <v>44987</v>
      </c>
      <c r="B65" s="111">
        <v>0.67459999999999998</v>
      </c>
      <c r="F65" s="116">
        <v>11962</v>
      </c>
      <c r="G65" s="118">
        <v>1.63</v>
      </c>
    </row>
    <row r="66" spans="1:7">
      <c r="A66" s="109">
        <v>44988</v>
      </c>
      <c r="B66" s="111">
        <v>0.6744</v>
      </c>
      <c r="F66" s="116">
        <v>12054</v>
      </c>
      <c r="G66" s="118">
        <v>1.6</v>
      </c>
    </row>
    <row r="67" spans="1:7">
      <c r="A67" s="109">
        <v>44991</v>
      </c>
      <c r="B67" s="111">
        <v>0.67559999999999998</v>
      </c>
      <c r="F67" s="116">
        <v>12144</v>
      </c>
      <c r="G67" s="118">
        <v>1.58</v>
      </c>
    </row>
    <row r="68" spans="1:7">
      <c r="A68" s="109">
        <v>44992</v>
      </c>
      <c r="B68" s="111">
        <v>0.67130000000000001</v>
      </c>
      <c r="F68" s="116">
        <v>12235</v>
      </c>
      <c r="G68" s="118">
        <v>1.59</v>
      </c>
    </row>
    <row r="69" spans="1:7">
      <c r="A69" s="109">
        <v>44993</v>
      </c>
      <c r="B69" s="111">
        <v>0.65910000000000002</v>
      </c>
      <c r="F69" s="116">
        <v>12327</v>
      </c>
      <c r="G69" s="118">
        <v>1.59</v>
      </c>
    </row>
    <row r="70" spans="1:7">
      <c r="A70" s="109">
        <v>44994</v>
      </c>
      <c r="B70" s="111">
        <v>0.66100000000000003</v>
      </c>
      <c r="F70" s="116">
        <v>12419</v>
      </c>
      <c r="G70" s="118">
        <v>1.59</v>
      </c>
    </row>
    <row r="71" spans="1:7">
      <c r="A71" s="109">
        <v>44995</v>
      </c>
      <c r="B71" s="111">
        <v>0.65990000000000004</v>
      </c>
      <c r="F71" s="116">
        <v>12509</v>
      </c>
      <c r="G71" s="118">
        <v>1.6</v>
      </c>
    </row>
    <row r="72" spans="1:7">
      <c r="A72" s="109">
        <v>44998</v>
      </c>
      <c r="B72" s="111">
        <v>0.66649999999999998</v>
      </c>
      <c r="F72" s="116">
        <v>12600</v>
      </c>
      <c r="G72" s="118">
        <v>1.62</v>
      </c>
    </row>
    <row r="73" spans="1:7">
      <c r="A73" s="109">
        <v>44999</v>
      </c>
      <c r="B73" s="111">
        <v>0.66490000000000005</v>
      </c>
      <c r="F73" s="116">
        <v>12692</v>
      </c>
      <c r="G73" s="118">
        <v>1.62</v>
      </c>
    </row>
    <row r="74" spans="1:7">
      <c r="A74" s="109">
        <v>45000</v>
      </c>
      <c r="B74" s="111">
        <v>0.66920000000000002</v>
      </c>
      <c r="F74" s="116">
        <v>12784</v>
      </c>
      <c r="G74" s="118">
        <v>1.62</v>
      </c>
    </row>
    <row r="75" spans="1:7">
      <c r="A75" s="109">
        <v>45001</v>
      </c>
      <c r="B75" s="111">
        <v>0.66369999999999996</v>
      </c>
      <c r="F75" s="116">
        <v>12874</v>
      </c>
      <c r="G75" s="118">
        <v>1.63</v>
      </c>
    </row>
    <row r="76" spans="1:7">
      <c r="A76" s="109">
        <v>45002</v>
      </c>
      <c r="B76" s="111">
        <v>0.6714</v>
      </c>
      <c r="F76" s="116">
        <v>12965</v>
      </c>
      <c r="G76" s="118">
        <v>1.63</v>
      </c>
    </row>
    <row r="77" spans="1:7">
      <c r="A77" s="109">
        <v>45005</v>
      </c>
      <c r="B77" s="111">
        <v>0.66830000000000001</v>
      </c>
      <c r="F77" s="116">
        <v>13057</v>
      </c>
      <c r="G77" s="118">
        <v>1.65</v>
      </c>
    </row>
    <row r="78" spans="1:7">
      <c r="A78" s="109">
        <v>45006</v>
      </c>
      <c r="B78" s="111">
        <v>0.66910000000000003</v>
      </c>
      <c r="F78" s="116">
        <v>13149</v>
      </c>
      <c r="G78" s="118">
        <v>1.66</v>
      </c>
    </row>
    <row r="79" spans="1:7">
      <c r="A79" s="109">
        <v>45007</v>
      </c>
      <c r="B79" s="111">
        <v>0.66949999999999998</v>
      </c>
      <c r="F79" s="116">
        <v>13240</v>
      </c>
      <c r="G79" s="118">
        <v>1.66</v>
      </c>
    </row>
    <row r="80" spans="1:7">
      <c r="A80" s="109">
        <v>45008</v>
      </c>
      <c r="B80" s="111">
        <v>0.67410000000000003</v>
      </c>
      <c r="F80" s="116">
        <v>13331</v>
      </c>
      <c r="G80" s="118">
        <v>1.66</v>
      </c>
    </row>
    <row r="81" spans="1:7">
      <c r="A81" s="109">
        <v>45009</v>
      </c>
      <c r="B81" s="111">
        <v>0.66869999999999996</v>
      </c>
      <c r="F81" s="116">
        <v>13423</v>
      </c>
      <c r="G81" s="118">
        <v>1.69</v>
      </c>
    </row>
    <row r="82" spans="1:7">
      <c r="A82" s="109">
        <v>45012</v>
      </c>
      <c r="B82" s="111">
        <v>0.66500000000000004</v>
      </c>
      <c r="F82" s="116">
        <v>13515</v>
      </c>
      <c r="G82" s="118">
        <v>1.7</v>
      </c>
    </row>
    <row r="83" spans="1:7">
      <c r="A83" s="109">
        <v>45013</v>
      </c>
      <c r="B83" s="111">
        <v>0.66890000000000005</v>
      </c>
      <c r="F83" s="116">
        <v>13605</v>
      </c>
      <c r="G83" s="118">
        <v>1.71</v>
      </c>
    </row>
    <row r="84" spans="1:7">
      <c r="A84" s="109">
        <v>45014</v>
      </c>
      <c r="B84" s="111">
        <v>0.67030000000000001</v>
      </c>
      <c r="F84" s="116">
        <v>13696</v>
      </c>
      <c r="G84" s="118">
        <v>1.71</v>
      </c>
    </row>
    <row r="85" spans="1:7">
      <c r="A85" s="109">
        <v>45015</v>
      </c>
      <c r="B85" s="111">
        <v>0.66869999999999996</v>
      </c>
      <c r="F85" s="116">
        <v>13788</v>
      </c>
      <c r="G85" s="118">
        <v>1.73</v>
      </c>
    </row>
    <row r="86" spans="1:7">
      <c r="A86" s="109">
        <v>45016</v>
      </c>
      <c r="B86" s="111">
        <v>0.67120000000000002</v>
      </c>
      <c r="F86" s="116">
        <v>13880</v>
      </c>
      <c r="G86" s="118">
        <v>1.74</v>
      </c>
    </row>
    <row r="87" spans="1:7">
      <c r="A87" s="109">
        <v>45019</v>
      </c>
      <c r="B87" s="111">
        <v>0.6663</v>
      </c>
      <c r="F87" s="116">
        <v>13970</v>
      </c>
      <c r="G87" s="118">
        <v>1.75</v>
      </c>
    </row>
    <row r="88" spans="1:7">
      <c r="A88" s="109">
        <v>45020</v>
      </c>
      <c r="B88" s="111">
        <v>0.67649999999999999</v>
      </c>
      <c r="F88" s="116">
        <v>14061</v>
      </c>
      <c r="G88" s="118">
        <v>1.77</v>
      </c>
    </row>
    <row r="89" spans="1:7">
      <c r="A89" s="109">
        <v>45021</v>
      </c>
      <c r="B89" s="111">
        <v>0.67359999999999998</v>
      </c>
      <c r="F89" s="116">
        <v>14153</v>
      </c>
      <c r="G89" s="118">
        <v>1.79</v>
      </c>
    </row>
    <row r="90" spans="1:7">
      <c r="A90" s="109">
        <v>45022</v>
      </c>
      <c r="B90" s="111">
        <v>0.6694</v>
      </c>
      <c r="F90" s="116">
        <v>14245</v>
      </c>
      <c r="G90" s="118">
        <v>1.79</v>
      </c>
    </row>
    <row r="91" spans="1:7">
      <c r="A91" s="109">
        <v>45027</v>
      </c>
      <c r="B91" s="111">
        <v>0.66769999999999996</v>
      </c>
      <c r="F91" s="116">
        <v>14335</v>
      </c>
      <c r="G91" s="118">
        <v>1.82</v>
      </c>
    </row>
    <row r="92" spans="1:7">
      <c r="A92" s="109">
        <v>45028</v>
      </c>
      <c r="B92" s="111">
        <v>0.66710000000000003</v>
      </c>
      <c r="F92" s="116">
        <v>14426</v>
      </c>
      <c r="G92" s="118">
        <v>1.81</v>
      </c>
    </row>
    <row r="93" spans="1:7">
      <c r="A93" s="109">
        <v>45029</v>
      </c>
      <c r="B93" s="111">
        <v>0.67010000000000003</v>
      </c>
      <c r="F93" s="116">
        <v>14518</v>
      </c>
      <c r="G93" s="118">
        <v>1.81</v>
      </c>
    </row>
    <row r="94" spans="1:7">
      <c r="A94" s="109">
        <v>45030</v>
      </c>
      <c r="B94" s="111">
        <v>0.67830000000000001</v>
      </c>
      <c r="F94" s="116">
        <v>14610</v>
      </c>
      <c r="G94" s="118">
        <v>1.83</v>
      </c>
    </row>
    <row r="95" spans="1:7">
      <c r="A95" s="109">
        <v>45033</v>
      </c>
      <c r="B95" s="111">
        <v>0.67149999999999999</v>
      </c>
      <c r="F95" s="116">
        <v>14701</v>
      </c>
      <c r="G95" s="118">
        <v>1.84</v>
      </c>
    </row>
    <row r="96" spans="1:7">
      <c r="A96" s="109">
        <v>45034</v>
      </c>
      <c r="B96" s="111">
        <v>0.67330000000000001</v>
      </c>
      <c r="F96" s="116">
        <v>14792</v>
      </c>
      <c r="G96" s="118">
        <v>1.88</v>
      </c>
    </row>
    <row r="97" spans="1:7">
      <c r="A97" s="109">
        <v>45035</v>
      </c>
      <c r="B97" s="111">
        <v>0.67269999999999996</v>
      </c>
      <c r="F97" s="116">
        <v>14884</v>
      </c>
      <c r="G97" s="118">
        <v>1.89</v>
      </c>
    </row>
    <row r="98" spans="1:7">
      <c r="A98" s="109">
        <v>45036</v>
      </c>
      <c r="B98" s="111">
        <v>0.67149999999999999</v>
      </c>
      <c r="F98" s="116">
        <v>14976</v>
      </c>
      <c r="G98" s="118">
        <v>1.95</v>
      </c>
    </row>
    <row r="99" spans="1:7">
      <c r="A99" s="109">
        <v>45037</v>
      </c>
      <c r="B99" s="111">
        <v>0.67079999999999995</v>
      </c>
      <c r="F99" s="116">
        <v>15066</v>
      </c>
      <c r="G99" s="118">
        <v>1.97</v>
      </c>
    </row>
    <row r="100" spans="1:7">
      <c r="A100" s="109">
        <v>45040</v>
      </c>
      <c r="B100" s="111">
        <v>0.66759999999999997</v>
      </c>
      <c r="F100" s="116">
        <v>15157</v>
      </c>
      <c r="G100" s="118">
        <v>1.98</v>
      </c>
    </row>
    <row r="101" spans="1:7">
      <c r="A101" s="109">
        <v>45042</v>
      </c>
      <c r="B101" s="111">
        <v>0.66090000000000004</v>
      </c>
      <c r="F101" s="116">
        <v>15249</v>
      </c>
      <c r="G101" s="118">
        <v>1.99</v>
      </c>
    </row>
    <row r="102" spans="1:7">
      <c r="A102" s="109">
        <v>45043</v>
      </c>
      <c r="B102" s="111">
        <v>0.66269999999999996</v>
      </c>
      <c r="F102" s="116">
        <v>15341</v>
      </c>
      <c r="G102" s="118">
        <v>2.0299999999999998</v>
      </c>
    </row>
    <row r="103" spans="1:7">
      <c r="A103" s="109">
        <v>45044</v>
      </c>
      <c r="B103" s="111">
        <v>0.66100000000000003</v>
      </c>
      <c r="F103" s="116">
        <v>15431</v>
      </c>
      <c r="G103" s="118">
        <v>2.08</v>
      </c>
    </row>
    <row r="104" spans="1:7">
      <c r="A104" s="109">
        <v>45047</v>
      </c>
      <c r="B104" s="111">
        <v>0.66390000000000005</v>
      </c>
      <c r="F104" s="116">
        <v>15522</v>
      </c>
      <c r="G104" s="118">
        <v>2.14</v>
      </c>
    </row>
    <row r="105" spans="1:7">
      <c r="A105" s="109">
        <v>45048</v>
      </c>
      <c r="B105" s="111">
        <v>0.67049999999999998</v>
      </c>
      <c r="F105" s="116">
        <v>15614</v>
      </c>
      <c r="G105" s="118">
        <v>2.19</v>
      </c>
    </row>
    <row r="106" spans="1:7">
      <c r="A106" s="109">
        <v>45049</v>
      </c>
      <c r="B106" s="111">
        <v>0.66639999999999999</v>
      </c>
      <c r="F106" s="116">
        <v>15706</v>
      </c>
      <c r="G106" s="118">
        <v>2.2200000000000002</v>
      </c>
    </row>
    <row r="107" spans="1:7">
      <c r="A107" s="109">
        <v>45050</v>
      </c>
      <c r="B107" s="111">
        <v>0.66900000000000004</v>
      </c>
      <c r="F107" s="116">
        <v>15796</v>
      </c>
      <c r="G107" s="118">
        <v>2.2200000000000002</v>
      </c>
    </row>
    <row r="108" spans="1:7">
      <c r="A108" s="109">
        <v>45051</v>
      </c>
      <c r="B108" s="111">
        <v>0.67349999999999999</v>
      </c>
      <c r="F108" s="116">
        <v>15887</v>
      </c>
      <c r="G108" s="118">
        <v>2.2599999999999998</v>
      </c>
    </row>
    <row r="109" spans="1:7">
      <c r="A109" s="109">
        <v>45054</v>
      </c>
      <c r="B109" s="111">
        <v>0.67749999999999999</v>
      </c>
      <c r="F109" s="116">
        <v>15979</v>
      </c>
      <c r="G109" s="118">
        <v>2.2400000000000002</v>
      </c>
    </row>
    <row r="110" spans="1:7">
      <c r="A110" s="109">
        <v>45055</v>
      </c>
      <c r="B110" s="111">
        <v>0.67779999999999996</v>
      </c>
      <c r="F110" s="116">
        <v>16071</v>
      </c>
      <c r="G110" s="118">
        <v>2.2200000000000002</v>
      </c>
    </row>
    <row r="111" spans="1:7">
      <c r="A111" s="109">
        <v>45056</v>
      </c>
      <c r="B111" s="111">
        <v>0.6764</v>
      </c>
      <c r="F111" s="116">
        <v>16162</v>
      </c>
      <c r="G111" s="118">
        <v>2.2200000000000002</v>
      </c>
    </row>
    <row r="112" spans="1:7">
      <c r="A112" s="109">
        <v>45057</v>
      </c>
      <c r="B112" s="111">
        <v>0.67749999999999999</v>
      </c>
      <c r="F112" s="116">
        <v>16253</v>
      </c>
      <c r="G112" s="118">
        <v>2.2200000000000002</v>
      </c>
    </row>
    <row r="113" spans="1:7">
      <c r="A113" s="109">
        <v>45058</v>
      </c>
      <c r="B113" s="111">
        <v>0.66900000000000004</v>
      </c>
      <c r="F113" s="116">
        <v>16345</v>
      </c>
      <c r="G113" s="118">
        <v>2.23</v>
      </c>
    </row>
    <row r="114" spans="1:7">
      <c r="A114" s="109">
        <v>45061</v>
      </c>
      <c r="B114" s="111">
        <v>0.66820000000000002</v>
      </c>
      <c r="F114" s="116">
        <v>16437</v>
      </c>
      <c r="G114" s="118">
        <v>2.2200000000000002</v>
      </c>
    </row>
    <row r="115" spans="1:7">
      <c r="A115" s="109">
        <v>45062</v>
      </c>
      <c r="B115" s="111">
        <v>0.66739999999999999</v>
      </c>
      <c r="F115" s="116">
        <v>16527</v>
      </c>
      <c r="G115" s="118">
        <v>2.2200000000000002</v>
      </c>
    </row>
    <row r="116" spans="1:7">
      <c r="A116" s="109">
        <v>45063</v>
      </c>
      <c r="B116" s="111">
        <v>0.66390000000000005</v>
      </c>
      <c r="F116" s="116">
        <v>16618</v>
      </c>
      <c r="G116" s="118">
        <v>2.2200000000000002</v>
      </c>
    </row>
    <row r="117" spans="1:7">
      <c r="A117" s="109">
        <v>45064</v>
      </c>
      <c r="B117" s="111">
        <v>0.66469999999999996</v>
      </c>
      <c r="F117" s="116">
        <v>16710</v>
      </c>
      <c r="G117" s="118">
        <v>2.2200000000000002</v>
      </c>
    </row>
    <row r="118" spans="1:7">
      <c r="A118" s="109">
        <v>45065</v>
      </c>
      <c r="B118" s="111">
        <v>0.66339999999999999</v>
      </c>
      <c r="F118" s="116">
        <v>16802</v>
      </c>
      <c r="G118" s="118">
        <v>2.23</v>
      </c>
    </row>
    <row r="119" spans="1:7">
      <c r="A119" s="109">
        <v>45068</v>
      </c>
      <c r="B119" s="111">
        <v>0.66400000000000003</v>
      </c>
      <c r="F119" s="116">
        <v>16892</v>
      </c>
      <c r="G119" s="118">
        <v>2.2400000000000002</v>
      </c>
    </row>
    <row r="120" spans="1:7">
      <c r="A120" s="109">
        <v>45069</v>
      </c>
      <c r="B120" s="111">
        <v>0.66500000000000004</v>
      </c>
      <c r="F120" s="116">
        <v>16983</v>
      </c>
      <c r="G120" s="118">
        <v>2.2599999999999998</v>
      </c>
    </row>
    <row r="121" spans="1:7">
      <c r="A121" s="109">
        <v>45070</v>
      </c>
      <c r="B121" s="111">
        <v>0.65980000000000005</v>
      </c>
      <c r="F121" s="116">
        <v>17075</v>
      </c>
      <c r="G121" s="118">
        <v>2.2599999999999998</v>
      </c>
    </row>
    <row r="122" spans="1:7">
      <c r="A122" s="109">
        <v>45071</v>
      </c>
      <c r="B122" s="111">
        <v>0.65269999999999995</v>
      </c>
      <c r="F122" s="116">
        <v>17167</v>
      </c>
      <c r="G122" s="118">
        <v>2.2799999999999998</v>
      </c>
    </row>
    <row r="123" spans="1:7">
      <c r="A123" s="109">
        <v>45072</v>
      </c>
      <c r="B123" s="111">
        <v>0.65149999999999997</v>
      </c>
      <c r="F123" s="116">
        <v>17257</v>
      </c>
      <c r="G123" s="118">
        <v>2.2999999999999998</v>
      </c>
    </row>
    <row r="124" spans="1:7">
      <c r="A124" s="109">
        <v>45075</v>
      </c>
      <c r="B124" s="111">
        <v>0.65469999999999995</v>
      </c>
      <c r="F124" s="116">
        <v>17348</v>
      </c>
      <c r="G124" s="118">
        <v>2.3199999999999998</v>
      </c>
    </row>
    <row r="125" spans="1:7">
      <c r="A125" s="109">
        <v>45076</v>
      </c>
      <c r="B125" s="111">
        <v>0.65090000000000003</v>
      </c>
      <c r="F125" s="116">
        <v>17440</v>
      </c>
      <c r="G125" s="118">
        <v>2.35</v>
      </c>
    </row>
    <row r="126" spans="1:7">
      <c r="A126" s="109">
        <v>45077</v>
      </c>
      <c r="B126" s="111">
        <v>0.64949999999999997</v>
      </c>
      <c r="F126" s="116">
        <v>17532</v>
      </c>
      <c r="G126" s="118">
        <v>2.41</v>
      </c>
    </row>
    <row r="127" spans="1:7">
      <c r="A127" s="109">
        <v>45078</v>
      </c>
      <c r="B127" s="111">
        <v>0.65110000000000001</v>
      </c>
      <c r="F127" s="116">
        <v>17623</v>
      </c>
      <c r="G127" s="118">
        <v>2.4700000000000002</v>
      </c>
    </row>
    <row r="128" spans="1:7">
      <c r="A128" s="109">
        <v>45079</v>
      </c>
      <c r="B128" s="111">
        <v>0.66120000000000001</v>
      </c>
      <c r="F128" s="116">
        <v>17714</v>
      </c>
      <c r="G128" s="118">
        <v>2.52</v>
      </c>
    </row>
    <row r="129" spans="1:7">
      <c r="A129" s="109">
        <v>45082</v>
      </c>
      <c r="B129" s="111">
        <v>0.66069999999999995</v>
      </c>
      <c r="F129" s="116">
        <v>17806</v>
      </c>
      <c r="G129" s="118">
        <v>2.59</v>
      </c>
    </row>
    <row r="130" spans="1:7">
      <c r="A130" s="109">
        <v>45083</v>
      </c>
      <c r="B130" s="111">
        <v>0.66610000000000003</v>
      </c>
      <c r="F130" s="116">
        <v>17898</v>
      </c>
      <c r="G130" s="118">
        <v>2.63</v>
      </c>
    </row>
    <row r="131" spans="1:7">
      <c r="A131" s="109">
        <v>45084</v>
      </c>
      <c r="B131" s="111">
        <v>0.66779999999999995</v>
      </c>
      <c r="F131" s="116">
        <v>17988</v>
      </c>
      <c r="G131" s="118">
        <v>2.71</v>
      </c>
    </row>
    <row r="132" spans="1:7">
      <c r="A132" s="109">
        <v>45085</v>
      </c>
      <c r="B132" s="111">
        <v>0.66620000000000001</v>
      </c>
      <c r="F132" s="116">
        <v>18079</v>
      </c>
      <c r="G132" s="118">
        <v>2.74</v>
      </c>
    </row>
    <row r="133" spans="1:7">
      <c r="A133" s="109">
        <v>45086</v>
      </c>
      <c r="B133" s="111">
        <v>0.67079999999999995</v>
      </c>
      <c r="F133" s="116">
        <v>18171</v>
      </c>
      <c r="G133" s="118">
        <v>2.82</v>
      </c>
    </row>
    <row r="134" spans="1:7">
      <c r="A134" s="109">
        <v>45090</v>
      </c>
      <c r="B134" s="111">
        <v>0.67610000000000003</v>
      </c>
      <c r="F134" s="116">
        <v>18263</v>
      </c>
      <c r="G134" s="118">
        <v>2.86</v>
      </c>
    </row>
    <row r="135" spans="1:7">
      <c r="A135" s="109">
        <v>45091</v>
      </c>
      <c r="B135" s="111">
        <v>0.67669999999999997</v>
      </c>
      <c r="F135" s="116">
        <v>18353</v>
      </c>
      <c r="G135" s="118">
        <v>2.9</v>
      </c>
    </row>
    <row r="136" spans="1:7">
      <c r="A136" s="109">
        <v>45092</v>
      </c>
      <c r="B136" s="111">
        <v>0.68210000000000004</v>
      </c>
      <c r="F136" s="116">
        <v>18444</v>
      </c>
      <c r="G136" s="118">
        <v>3.02</v>
      </c>
    </row>
    <row r="137" spans="1:7">
      <c r="A137" s="109">
        <v>45093</v>
      </c>
      <c r="B137" s="111">
        <v>0.68879999999999997</v>
      </c>
      <c r="F137" s="116">
        <v>18536</v>
      </c>
      <c r="G137" s="118">
        <v>3.05</v>
      </c>
    </row>
    <row r="138" spans="1:7">
      <c r="A138" s="109">
        <v>45096</v>
      </c>
      <c r="B138" s="111">
        <v>0.6865</v>
      </c>
      <c r="F138" s="116">
        <v>18628</v>
      </c>
      <c r="G138" s="118">
        <v>3.17</v>
      </c>
    </row>
    <row r="139" spans="1:7">
      <c r="A139" s="109">
        <v>45097</v>
      </c>
      <c r="B139" s="111">
        <v>0.68030000000000002</v>
      </c>
      <c r="F139" s="116">
        <v>18718</v>
      </c>
      <c r="G139" s="118">
        <v>3.32</v>
      </c>
    </row>
    <row r="140" spans="1:7">
      <c r="A140" s="109">
        <v>45098</v>
      </c>
      <c r="B140" s="111">
        <v>0.67830000000000001</v>
      </c>
      <c r="F140" s="116">
        <v>18809</v>
      </c>
      <c r="G140" s="118">
        <v>3.52</v>
      </c>
    </row>
    <row r="141" spans="1:7">
      <c r="A141" s="109">
        <v>45099</v>
      </c>
      <c r="B141" s="111">
        <v>0.67649999999999999</v>
      </c>
      <c r="F141" s="116">
        <v>18901</v>
      </c>
      <c r="G141" s="118">
        <v>3.71</v>
      </c>
    </row>
    <row r="142" spans="1:7">
      <c r="A142" s="109">
        <v>45100</v>
      </c>
      <c r="B142" s="111">
        <v>0.66969999999999996</v>
      </c>
      <c r="F142" s="116">
        <v>18993</v>
      </c>
      <c r="G142" s="118">
        <v>3.98</v>
      </c>
    </row>
    <row r="143" spans="1:7">
      <c r="A143" s="109">
        <v>45103</v>
      </c>
      <c r="B143" s="111">
        <v>0.66790000000000005</v>
      </c>
      <c r="F143" s="116">
        <v>19084</v>
      </c>
      <c r="G143" s="118">
        <v>4.0999999999999996</v>
      </c>
    </row>
    <row r="144" spans="1:7">
      <c r="A144" s="109">
        <v>45104</v>
      </c>
      <c r="B144" s="111">
        <v>0.67120000000000002</v>
      </c>
      <c r="F144" s="116">
        <v>19175</v>
      </c>
      <c r="G144" s="118">
        <v>4.25</v>
      </c>
    </row>
    <row r="145" spans="1:7">
      <c r="A145" s="109">
        <v>45105</v>
      </c>
      <c r="B145" s="111">
        <v>0.66459999999999997</v>
      </c>
      <c r="F145" s="116">
        <v>19267</v>
      </c>
      <c r="G145" s="118">
        <v>4.33</v>
      </c>
    </row>
    <row r="146" spans="1:7">
      <c r="A146" s="109">
        <v>45106</v>
      </c>
      <c r="B146" s="111">
        <v>0.66139999999999999</v>
      </c>
      <c r="F146" s="116">
        <v>19359</v>
      </c>
      <c r="G146" s="118">
        <v>4.37</v>
      </c>
    </row>
    <row r="147" spans="1:7">
      <c r="A147" s="109">
        <v>45107</v>
      </c>
      <c r="B147" s="111">
        <v>0.66300000000000003</v>
      </c>
      <c r="F147" s="116">
        <v>19449</v>
      </c>
      <c r="G147" s="118">
        <v>4.41</v>
      </c>
    </row>
    <row r="148" spans="1:7">
      <c r="A148" s="109">
        <v>45110</v>
      </c>
      <c r="B148" s="111">
        <v>0.66639999999999999</v>
      </c>
      <c r="F148" s="116">
        <v>19540</v>
      </c>
      <c r="G148" s="118">
        <v>4.45</v>
      </c>
    </row>
    <row r="149" spans="1:7">
      <c r="A149" s="109">
        <v>45111</v>
      </c>
      <c r="B149" s="111">
        <v>0.6653</v>
      </c>
      <c r="F149" s="116">
        <v>19632</v>
      </c>
      <c r="G149" s="118">
        <v>4.4800000000000004</v>
      </c>
    </row>
    <row r="150" spans="1:7">
      <c r="A150" s="109">
        <v>45112</v>
      </c>
      <c r="B150" s="111">
        <v>0.66879999999999995</v>
      </c>
      <c r="F150" s="116">
        <v>19724</v>
      </c>
      <c r="G150" s="118">
        <v>4.45</v>
      </c>
    </row>
    <row r="151" spans="1:7">
      <c r="A151" s="109">
        <v>45113</v>
      </c>
      <c r="B151" s="111">
        <v>0.66610000000000003</v>
      </c>
      <c r="F151" s="116">
        <v>19814</v>
      </c>
      <c r="G151" s="118">
        <v>4.4800000000000004</v>
      </c>
    </row>
    <row r="152" spans="1:7">
      <c r="A152" s="109">
        <v>45114</v>
      </c>
      <c r="B152" s="111">
        <v>0.66349999999999998</v>
      </c>
      <c r="F152" s="116">
        <v>19905</v>
      </c>
      <c r="G152" s="118">
        <v>4.4800000000000004</v>
      </c>
    </row>
    <row r="153" spans="1:7">
      <c r="A153" s="109">
        <v>45117</v>
      </c>
      <c r="B153" s="111">
        <v>0.66569999999999996</v>
      </c>
      <c r="F153" s="116">
        <v>19997</v>
      </c>
      <c r="G153" s="118">
        <v>4.4800000000000004</v>
      </c>
    </row>
    <row r="154" spans="1:7">
      <c r="A154" s="109">
        <v>45118</v>
      </c>
      <c r="B154" s="111">
        <v>0.66820000000000002</v>
      </c>
      <c r="F154" s="116">
        <v>20089</v>
      </c>
      <c r="G154" s="118">
        <v>4.4800000000000004</v>
      </c>
    </row>
    <row r="155" spans="1:7">
      <c r="A155" s="109">
        <v>45119</v>
      </c>
      <c r="B155" s="111">
        <v>0.67090000000000005</v>
      </c>
      <c r="F155" s="116">
        <v>20179</v>
      </c>
      <c r="G155" s="118">
        <v>4.5199999999999996</v>
      </c>
    </row>
    <row r="156" spans="1:7">
      <c r="A156" s="109">
        <v>45120</v>
      </c>
      <c r="B156" s="111">
        <v>0.68079999999999996</v>
      </c>
      <c r="F156" s="116">
        <v>20270</v>
      </c>
      <c r="G156" s="118">
        <v>4.5599999999999996</v>
      </c>
    </row>
    <row r="157" spans="1:7">
      <c r="A157" s="109">
        <v>45121</v>
      </c>
      <c r="B157" s="111">
        <v>0.68889999999999996</v>
      </c>
      <c r="F157" s="116">
        <v>20362</v>
      </c>
      <c r="G157" s="118">
        <v>4.5999999999999996</v>
      </c>
    </row>
    <row r="158" spans="1:7">
      <c r="A158" s="109">
        <v>45124</v>
      </c>
      <c r="B158" s="111">
        <v>0.68140000000000001</v>
      </c>
      <c r="F158" s="116">
        <v>20454</v>
      </c>
      <c r="G158" s="118">
        <v>4.6399999999999997</v>
      </c>
    </row>
    <row r="159" spans="1:7">
      <c r="A159" s="109">
        <v>45125</v>
      </c>
      <c r="B159" s="111">
        <v>0.68210000000000004</v>
      </c>
      <c r="F159" s="116">
        <v>20545</v>
      </c>
      <c r="G159" s="118">
        <v>4.68</v>
      </c>
    </row>
    <row r="160" spans="1:7">
      <c r="A160" s="109">
        <v>45126</v>
      </c>
      <c r="B160" s="111">
        <v>0.6794</v>
      </c>
      <c r="F160" s="116">
        <v>20636</v>
      </c>
      <c r="G160" s="118">
        <v>4.83</v>
      </c>
    </row>
    <row r="161" spans="1:7">
      <c r="A161" s="109">
        <v>45127</v>
      </c>
      <c r="B161" s="111">
        <v>0.68279999999999996</v>
      </c>
      <c r="F161" s="116">
        <v>20728</v>
      </c>
      <c r="G161" s="118">
        <v>4.95</v>
      </c>
    </row>
    <row r="162" spans="1:7">
      <c r="A162" s="109">
        <v>45128</v>
      </c>
      <c r="B162" s="111">
        <v>0.67749999999999999</v>
      </c>
      <c r="F162" s="116">
        <v>20820</v>
      </c>
      <c r="G162" s="118">
        <v>4.95</v>
      </c>
    </row>
    <row r="163" spans="1:7">
      <c r="A163" s="109">
        <v>45131</v>
      </c>
      <c r="B163" s="111">
        <v>0.67359999999999998</v>
      </c>
      <c r="F163" s="116">
        <v>20910</v>
      </c>
      <c r="G163" s="118">
        <v>4.95</v>
      </c>
    </row>
    <row r="164" spans="1:7">
      <c r="A164" s="109">
        <v>45132</v>
      </c>
      <c r="B164" s="111">
        <v>0.67679999999999996</v>
      </c>
      <c r="F164" s="116">
        <v>21001</v>
      </c>
      <c r="G164" s="118">
        <v>4.99</v>
      </c>
    </row>
    <row r="165" spans="1:7">
      <c r="A165" s="109">
        <v>45133</v>
      </c>
      <c r="B165" s="111">
        <v>0.67630000000000001</v>
      </c>
      <c r="F165" s="116">
        <v>21093</v>
      </c>
      <c r="G165" s="118">
        <v>4.99</v>
      </c>
    </row>
    <row r="166" spans="1:7">
      <c r="A166" s="109">
        <v>45134</v>
      </c>
      <c r="B166" s="111">
        <v>0.67930000000000001</v>
      </c>
      <c r="F166" s="116">
        <v>21185</v>
      </c>
      <c r="G166" s="118">
        <v>4.99</v>
      </c>
    </row>
    <row r="167" spans="1:7">
      <c r="A167" s="109">
        <v>45135</v>
      </c>
      <c r="B167" s="111">
        <v>0.66690000000000005</v>
      </c>
      <c r="F167" s="116">
        <v>21275</v>
      </c>
      <c r="G167" s="118">
        <v>5.03</v>
      </c>
    </row>
    <row r="168" spans="1:7">
      <c r="A168" s="109">
        <v>45138</v>
      </c>
      <c r="B168" s="111">
        <v>0.66820000000000002</v>
      </c>
      <c r="F168" s="116">
        <v>21366</v>
      </c>
      <c r="G168" s="118">
        <v>5.03</v>
      </c>
    </row>
    <row r="169" spans="1:7">
      <c r="A169" s="109">
        <v>45139</v>
      </c>
      <c r="B169" s="111">
        <v>0.6673</v>
      </c>
      <c r="F169" s="116">
        <v>21458</v>
      </c>
      <c r="G169" s="118">
        <v>5.03</v>
      </c>
    </row>
    <row r="170" spans="1:7">
      <c r="A170" s="109">
        <v>45140</v>
      </c>
      <c r="B170" s="111">
        <v>0.65810000000000002</v>
      </c>
      <c r="F170" s="116">
        <v>21550</v>
      </c>
      <c r="G170" s="118">
        <v>5.0599999999999996</v>
      </c>
    </row>
    <row r="171" spans="1:7">
      <c r="A171" s="109">
        <v>45141</v>
      </c>
      <c r="B171" s="111">
        <v>0.65380000000000005</v>
      </c>
      <c r="F171" s="116">
        <v>21640</v>
      </c>
      <c r="G171" s="118">
        <v>5.0999999999999996</v>
      </c>
    </row>
    <row r="172" spans="1:7">
      <c r="A172" s="109">
        <v>45142</v>
      </c>
      <c r="B172" s="111">
        <v>0.6573</v>
      </c>
      <c r="F172" s="116">
        <v>21731</v>
      </c>
      <c r="G172" s="118">
        <v>5.0999999999999996</v>
      </c>
    </row>
    <row r="173" spans="1:7">
      <c r="A173" s="109">
        <v>45146</v>
      </c>
      <c r="B173" s="111">
        <v>0.65310000000000001</v>
      </c>
      <c r="F173" s="116">
        <v>21823</v>
      </c>
      <c r="G173" s="118">
        <v>5.14</v>
      </c>
    </row>
    <row r="174" spans="1:7">
      <c r="A174" s="109">
        <v>45147</v>
      </c>
      <c r="B174" s="111">
        <v>0.65559999999999996</v>
      </c>
      <c r="F174" s="116">
        <v>21915</v>
      </c>
      <c r="G174" s="118">
        <v>5.18</v>
      </c>
    </row>
    <row r="175" spans="1:7">
      <c r="A175" s="109">
        <v>45148</v>
      </c>
      <c r="B175" s="111">
        <v>0.65449999999999997</v>
      </c>
      <c r="F175" s="116">
        <v>22006</v>
      </c>
      <c r="G175" s="118">
        <v>5.22</v>
      </c>
    </row>
    <row r="176" spans="1:7">
      <c r="A176" s="109">
        <v>45149</v>
      </c>
      <c r="B176" s="111">
        <v>0.6522</v>
      </c>
      <c r="F176" s="116">
        <v>22097</v>
      </c>
      <c r="G176" s="118">
        <v>5.3</v>
      </c>
    </row>
    <row r="177" spans="1:7">
      <c r="A177" s="109">
        <v>45152</v>
      </c>
      <c r="B177" s="111">
        <v>0.64749999999999996</v>
      </c>
      <c r="F177" s="116">
        <v>22189</v>
      </c>
      <c r="G177" s="118">
        <v>5.37</v>
      </c>
    </row>
    <row r="178" spans="1:7">
      <c r="A178" s="109">
        <v>45153</v>
      </c>
      <c r="B178" s="111">
        <v>0.6512</v>
      </c>
      <c r="F178" s="116">
        <v>22281</v>
      </c>
      <c r="G178" s="118">
        <v>5.41</v>
      </c>
    </row>
    <row r="179" spans="1:7">
      <c r="A179" s="109">
        <v>45154</v>
      </c>
      <c r="B179" s="111">
        <v>0.64510000000000001</v>
      </c>
      <c r="F179" s="116">
        <v>22371</v>
      </c>
      <c r="G179" s="118">
        <v>5.45</v>
      </c>
    </row>
    <row r="180" spans="1:7">
      <c r="A180" s="109">
        <v>45155</v>
      </c>
      <c r="B180" s="111">
        <v>0.63849999999999996</v>
      </c>
      <c r="F180" s="116">
        <v>22462</v>
      </c>
      <c r="G180" s="118">
        <v>5.49</v>
      </c>
    </row>
    <row r="181" spans="1:7">
      <c r="A181" s="109">
        <v>45156</v>
      </c>
      <c r="B181" s="111">
        <v>0.64070000000000005</v>
      </c>
      <c r="F181" s="116">
        <v>22554</v>
      </c>
      <c r="G181" s="118">
        <v>5.45</v>
      </c>
    </row>
    <row r="182" spans="1:7">
      <c r="A182" s="109">
        <v>45159</v>
      </c>
      <c r="B182" s="111">
        <v>0.64</v>
      </c>
      <c r="F182" s="116">
        <v>22646</v>
      </c>
      <c r="G182" s="118">
        <v>5.45</v>
      </c>
    </row>
    <row r="183" spans="1:7">
      <c r="A183" s="109">
        <v>45160</v>
      </c>
      <c r="B183" s="111">
        <v>0.64170000000000005</v>
      </c>
      <c r="F183" s="116">
        <v>22736</v>
      </c>
      <c r="G183" s="118">
        <v>5.45</v>
      </c>
    </row>
    <row r="184" spans="1:7">
      <c r="A184" s="109">
        <v>45161</v>
      </c>
      <c r="B184" s="111">
        <v>0.64410000000000001</v>
      </c>
      <c r="F184" s="116">
        <v>22827</v>
      </c>
      <c r="G184" s="118">
        <v>5.45</v>
      </c>
    </row>
    <row r="185" spans="1:7">
      <c r="A185" s="109">
        <v>45162</v>
      </c>
      <c r="B185" s="111">
        <v>0.64790000000000003</v>
      </c>
      <c r="F185" s="116">
        <v>22919</v>
      </c>
      <c r="G185" s="118">
        <v>5.45</v>
      </c>
    </row>
    <row r="186" spans="1:7">
      <c r="A186" s="109">
        <v>45163</v>
      </c>
      <c r="B186" s="111">
        <v>0.64170000000000005</v>
      </c>
      <c r="F186" s="116">
        <v>23011</v>
      </c>
      <c r="G186" s="118">
        <v>5.45</v>
      </c>
    </row>
    <row r="187" spans="1:7">
      <c r="A187" s="109">
        <v>45166</v>
      </c>
      <c r="B187" s="111">
        <v>0.6431</v>
      </c>
      <c r="F187" s="116">
        <v>23101</v>
      </c>
      <c r="G187" s="118">
        <v>5.45</v>
      </c>
    </row>
    <row r="188" spans="1:7">
      <c r="A188" s="109">
        <v>45167</v>
      </c>
      <c r="B188" s="111">
        <v>0.64459999999999995</v>
      </c>
      <c r="F188" s="116">
        <v>23192</v>
      </c>
      <c r="G188" s="118">
        <v>5.45</v>
      </c>
    </row>
    <row r="189" spans="1:7">
      <c r="A189" s="109">
        <v>45168</v>
      </c>
      <c r="B189" s="111">
        <v>0.64749999999999996</v>
      </c>
      <c r="F189" s="116">
        <v>23284</v>
      </c>
      <c r="G189" s="118">
        <v>5.49</v>
      </c>
    </row>
    <row r="190" spans="1:7">
      <c r="A190" s="109">
        <v>45169</v>
      </c>
      <c r="B190" s="111">
        <v>0.64849999999999997</v>
      </c>
      <c r="F190" s="116">
        <v>23376</v>
      </c>
      <c r="G190" s="118">
        <v>5.49</v>
      </c>
    </row>
    <row r="191" spans="1:7">
      <c r="A191" s="109">
        <v>45170</v>
      </c>
      <c r="B191" s="111">
        <v>0.64710000000000001</v>
      </c>
      <c r="F191" s="116">
        <v>23467</v>
      </c>
      <c r="G191" s="118">
        <v>5.53</v>
      </c>
    </row>
    <row r="192" spans="1:7">
      <c r="A192" s="109">
        <v>45173</v>
      </c>
      <c r="B192" s="111">
        <v>0.64739999999999998</v>
      </c>
      <c r="F192" s="116">
        <v>23558</v>
      </c>
      <c r="G192" s="118">
        <v>5.57</v>
      </c>
    </row>
    <row r="193" spans="1:7">
      <c r="A193" s="109">
        <v>45174</v>
      </c>
      <c r="B193" s="111">
        <v>0.6401</v>
      </c>
      <c r="F193" s="116">
        <v>23650</v>
      </c>
      <c r="G193" s="118">
        <v>5.64</v>
      </c>
    </row>
    <row r="194" spans="1:7">
      <c r="A194" s="109">
        <v>45175</v>
      </c>
      <c r="B194" s="111">
        <v>0.64029999999999998</v>
      </c>
      <c r="F194" s="116">
        <v>23742</v>
      </c>
      <c r="G194" s="118">
        <v>5.68</v>
      </c>
    </row>
    <row r="195" spans="1:7">
      <c r="A195" s="109">
        <v>45176</v>
      </c>
      <c r="B195" s="111">
        <v>0.63800000000000001</v>
      </c>
      <c r="F195" s="116">
        <v>23832</v>
      </c>
      <c r="G195" s="118">
        <v>5.72</v>
      </c>
    </row>
    <row r="196" spans="1:7">
      <c r="A196" s="109">
        <v>45177</v>
      </c>
      <c r="B196" s="111">
        <v>0.64070000000000005</v>
      </c>
      <c r="F196" s="116">
        <v>23923</v>
      </c>
      <c r="G196" s="118">
        <v>5.8</v>
      </c>
    </row>
    <row r="197" spans="1:7">
      <c r="A197" s="109">
        <v>45180</v>
      </c>
      <c r="B197" s="111">
        <v>0.64370000000000005</v>
      </c>
      <c r="F197" s="116">
        <v>24015</v>
      </c>
      <c r="G197" s="118">
        <v>5.84</v>
      </c>
    </row>
    <row r="198" spans="1:7">
      <c r="A198" s="109">
        <v>45181</v>
      </c>
      <c r="B198" s="111">
        <v>0.64249999999999996</v>
      </c>
      <c r="F198" s="116">
        <v>24107</v>
      </c>
      <c r="G198" s="118">
        <v>5.91</v>
      </c>
    </row>
    <row r="199" spans="1:7">
      <c r="A199" s="109">
        <v>45182</v>
      </c>
      <c r="B199" s="111">
        <v>0.64090000000000003</v>
      </c>
      <c r="F199" s="116">
        <v>24197</v>
      </c>
      <c r="G199" s="118">
        <v>5.95</v>
      </c>
    </row>
    <row r="200" spans="1:7">
      <c r="A200" s="109">
        <v>45183</v>
      </c>
      <c r="B200" s="111">
        <v>0.64410000000000001</v>
      </c>
      <c r="F200" s="116">
        <v>24288</v>
      </c>
      <c r="G200" s="118">
        <v>5.99</v>
      </c>
    </row>
    <row r="201" spans="1:7">
      <c r="A201" s="109">
        <v>45184</v>
      </c>
      <c r="B201" s="111">
        <v>0.64670000000000005</v>
      </c>
      <c r="F201" s="116">
        <v>24380</v>
      </c>
      <c r="G201" s="118">
        <v>5.99</v>
      </c>
    </row>
    <row r="202" spans="1:7">
      <c r="A202" s="109">
        <v>45187</v>
      </c>
      <c r="B202" s="111">
        <v>0.64449999999999996</v>
      </c>
      <c r="F202" s="116">
        <v>24472</v>
      </c>
      <c r="G202" s="118">
        <v>6.07</v>
      </c>
    </row>
    <row r="203" spans="1:7">
      <c r="A203" s="109">
        <v>45188</v>
      </c>
      <c r="B203" s="111">
        <v>0.6431</v>
      </c>
      <c r="F203" s="116">
        <v>24562</v>
      </c>
      <c r="G203" s="118">
        <v>6.11</v>
      </c>
    </row>
    <row r="204" spans="1:7">
      <c r="A204" s="109">
        <v>45189</v>
      </c>
      <c r="B204" s="111">
        <v>0.6452</v>
      </c>
      <c r="F204" s="116">
        <v>24653</v>
      </c>
      <c r="G204" s="118">
        <v>6.15</v>
      </c>
    </row>
    <row r="205" spans="1:7">
      <c r="A205" s="109">
        <v>45190</v>
      </c>
      <c r="B205" s="111">
        <v>0.64029999999999998</v>
      </c>
      <c r="F205" s="116">
        <v>24745</v>
      </c>
      <c r="G205" s="118">
        <v>6.26</v>
      </c>
    </row>
    <row r="206" spans="1:7">
      <c r="A206" s="109">
        <v>45191</v>
      </c>
      <c r="B206" s="111">
        <v>0.64249999999999996</v>
      </c>
      <c r="F206" s="116">
        <v>24837</v>
      </c>
      <c r="G206" s="118">
        <v>6.26</v>
      </c>
    </row>
    <row r="207" spans="1:7">
      <c r="A207" s="109">
        <v>45194</v>
      </c>
      <c r="B207" s="111">
        <v>0.64180000000000004</v>
      </c>
      <c r="F207" s="116">
        <v>24928</v>
      </c>
      <c r="G207" s="118">
        <v>6.3</v>
      </c>
    </row>
    <row r="208" spans="1:7">
      <c r="A208" s="109">
        <v>45195</v>
      </c>
      <c r="B208" s="111">
        <v>0.64139999999999997</v>
      </c>
      <c r="F208" s="116">
        <v>25019</v>
      </c>
      <c r="G208" s="118">
        <v>6.34</v>
      </c>
    </row>
    <row r="209" spans="1:7">
      <c r="A209" s="109">
        <v>45196</v>
      </c>
      <c r="B209" s="111">
        <v>0.63790000000000002</v>
      </c>
      <c r="F209" s="116">
        <v>25111</v>
      </c>
      <c r="G209" s="118">
        <v>6.38</v>
      </c>
    </row>
    <row r="210" spans="1:7">
      <c r="A210" s="109">
        <v>45197</v>
      </c>
      <c r="B210" s="111">
        <v>0.63770000000000004</v>
      </c>
      <c r="F210" s="116">
        <v>25203</v>
      </c>
      <c r="G210" s="118">
        <v>6.42</v>
      </c>
    </row>
    <row r="211" spans="1:7">
      <c r="A211" s="109">
        <v>45198</v>
      </c>
      <c r="B211" s="111">
        <v>0.64580000000000004</v>
      </c>
      <c r="F211" s="116">
        <v>25293</v>
      </c>
      <c r="G211" s="118">
        <v>6.49</v>
      </c>
    </row>
    <row r="212" spans="1:7">
      <c r="A212" s="109">
        <v>45202</v>
      </c>
      <c r="B212" s="111">
        <v>0.63160000000000005</v>
      </c>
      <c r="F212" s="116">
        <v>25384</v>
      </c>
      <c r="G212" s="118">
        <v>6.53</v>
      </c>
    </row>
    <row r="213" spans="1:7">
      <c r="A213" s="109">
        <v>45203</v>
      </c>
      <c r="B213" s="111">
        <v>0.6321</v>
      </c>
      <c r="F213" s="116">
        <v>25476</v>
      </c>
      <c r="G213" s="118">
        <v>6.57</v>
      </c>
    </row>
    <row r="214" spans="1:7">
      <c r="A214" s="109">
        <v>45204</v>
      </c>
      <c r="B214" s="111">
        <v>0.63719999999999999</v>
      </c>
      <c r="F214" s="116">
        <v>25568</v>
      </c>
      <c r="G214" s="118">
        <v>6.61</v>
      </c>
    </row>
    <row r="215" spans="1:7">
      <c r="A215" s="109">
        <v>45205</v>
      </c>
      <c r="B215" s="111">
        <v>0.63680000000000003</v>
      </c>
      <c r="F215" s="116">
        <v>25658</v>
      </c>
      <c r="G215" s="118">
        <v>6.69</v>
      </c>
    </row>
    <row r="216" spans="1:7">
      <c r="A216" s="109">
        <v>45208</v>
      </c>
      <c r="B216" s="111">
        <v>0.63500000000000001</v>
      </c>
      <c r="F216" s="116">
        <v>25749</v>
      </c>
      <c r="G216" s="118">
        <v>6.77</v>
      </c>
    </row>
    <row r="217" spans="1:7">
      <c r="A217" s="109">
        <v>45209</v>
      </c>
      <c r="B217" s="111">
        <v>0.6411</v>
      </c>
      <c r="F217" s="116">
        <v>25841</v>
      </c>
      <c r="G217" s="118">
        <v>6.8</v>
      </c>
    </row>
    <row r="218" spans="1:7">
      <c r="A218" s="109">
        <v>45210</v>
      </c>
      <c r="B218" s="104">
        <v>0.6421</v>
      </c>
      <c r="F218" s="116">
        <v>25933</v>
      </c>
      <c r="G218" s="118">
        <v>6.92</v>
      </c>
    </row>
    <row r="219" spans="1:7">
      <c r="A219" s="109">
        <v>45211</v>
      </c>
      <c r="B219" s="111">
        <v>0.64229999999999998</v>
      </c>
      <c r="F219" s="116">
        <v>26023</v>
      </c>
      <c r="G219" s="118">
        <v>7</v>
      </c>
    </row>
    <row r="220" spans="1:7">
      <c r="A220" s="109">
        <v>45212</v>
      </c>
      <c r="B220" s="111">
        <v>0.63170000000000004</v>
      </c>
      <c r="F220" s="116">
        <v>26114</v>
      </c>
      <c r="G220" s="118">
        <v>7.11</v>
      </c>
    </row>
    <row r="221" spans="1:7">
      <c r="A221" s="109">
        <v>45215</v>
      </c>
      <c r="B221" s="111">
        <v>0.63229999999999997</v>
      </c>
      <c r="F221" s="116">
        <v>26206</v>
      </c>
      <c r="G221" s="118">
        <v>7.27</v>
      </c>
    </row>
    <row r="222" spans="1:7">
      <c r="A222" s="109">
        <v>45216</v>
      </c>
      <c r="B222" s="111">
        <v>0.63549999999999995</v>
      </c>
      <c r="F222" s="116">
        <v>26298</v>
      </c>
      <c r="G222" s="118">
        <v>7.42</v>
      </c>
    </row>
    <row r="223" spans="1:7">
      <c r="A223" s="109">
        <v>45217</v>
      </c>
      <c r="B223" s="111">
        <v>0.63790000000000002</v>
      </c>
      <c r="F223" s="116">
        <v>26389</v>
      </c>
      <c r="G223" s="118">
        <v>7.5</v>
      </c>
    </row>
    <row r="224" spans="1:7">
      <c r="A224" s="109">
        <v>45218</v>
      </c>
      <c r="B224" s="111">
        <v>0.63029999999999997</v>
      </c>
      <c r="F224" s="116">
        <v>26480</v>
      </c>
      <c r="G224" s="118">
        <v>7.58</v>
      </c>
    </row>
    <row r="225" spans="1:7">
      <c r="A225" s="109">
        <v>45219</v>
      </c>
      <c r="B225" s="111">
        <v>0.63160000000000005</v>
      </c>
      <c r="F225" s="116">
        <v>26572</v>
      </c>
      <c r="G225" s="118">
        <v>7.69</v>
      </c>
    </row>
    <row r="226" spans="1:7">
      <c r="A226" s="109">
        <v>45222</v>
      </c>
      <c r="B226" s="111">
        <v>0.63109999999999999</v>
      </c>
      <c r="F226" s="116">
        <v>26664</v>
      </c>
      <c r="G226" s="118">
        <v>7.77</v>
      </c>
    </row>
    <row r="227" spans="1:7">
      <c r="A227" s="109">
        <v>45223</v>
      </c>
      <c r="B227" s="111">
        <v>0.63590000000000002</v>
      </c>
      <c r="F227" s="116">
        <v>26754</v>
      </c>
      <c r="G227" s="118">
        <v>7.93</v>
      </c>
    </row>
    <row r="228" spans="1:7">
      <c r="A228" s="109">
        <v>45224</v>
      </c>
      <c r="B228" s="111">
        <v>0.63859999999999995</v>
      </c>
      <c r="F228" s="116">
        <v>26845</v>
      </c>
      <c r="G228" s="118">
        <v>8.1999999999999993</v>
      </c>
    </row>
    <row r="229" spans="1:7">
      <c r="A229" s="109">
        <v>45225</v>
      </c>
      <c r="B229" s="111">
        <v>0.62780000000000002</v>
      </c>
      <c r="F229" s="116">
        <v>26937</v>
      </c>
      <c r="G229" s="118">
        <v>8.4700000000000006</v>
      </c>
    </row>
    <row r="230" spans="1:7">
      <c r="A230" s="109">
        <v>45226</v>
      </c>
      <c r="B230" s="111">
        <v>0.63449999999999995</v>
      </c>
      <c r="F230" s="116">
        <v>27029</v>
      </c>
      <c r="G230" s="118">
        <v>8.7799999999999994</v>
      </c>
    </row>
    <row r="231" spans="1:7">
      <c r="A231" s="109">
        <v>45229</v>
      </c>
      <c r="B231" s="111">
        <v>0.63529999999999998</v>
      </c>
      <c r="F231" s="116">
        <v>27119</v>
      </c>
      <c r="G231" s="118">
        <v>9.01</v>
      </c>
    </row>
    <row r="232" spans="1:7">
      <c r="A232" s="109">
        <v>45230</v>
      </c>
      <c r="B232" s="111">
        <v>0.63460000000000005</v>
      </c>
      <c r="F232" s="116">
        <v>27210</v>
      </c>
      <c r="G232" s="118">
        <v>9.39</v>
      </c>
    </row>
    <row r="233" spans="1:7">
      <c r="A233" s="109">
        <v>45231</v>
      </c>
      <c r="B233" s="111">
        <v>0.63319999999999999</v>
      </c>
      <c r="F233" s="116">
        <v>27302</v>
      </c>
      <c r="G233" s="118">
        <v>9.86</v>
      </c>
    </row>
    <row r="234" spans="1:7">
      <c r="A234" s="109">
        <v>45232</v>
      </c>
      <c r="B234" s="111">
        <v>0.64239999999999997</v>
      </c>
      <c r="F234" s="116">
        <v>27394</v>
      </c>
      <c r="G234" s="118">
        <v>10.210000000000001</v>
      </c>
    </row>
    <row r="235" spans="1:7">
      <c r="A235" s="109">
        <v>45233</v>
      </c>
      <c r="B235" s="111">
        <v>0.64329999999999998</v>
      </c>
      <c r="F235" s="116">
        <v>27484</v>
      </c>
      <c r="G235" s="118">
        <v>10.59</v>
      </c>
    </row>
    <row r="236" spans="1:7">
      <c r="A236" s="109">
        <v>45236</v>
      </c>
      <c r="B236" s="111">
        <v>0.65100000000000002</v>
      </c>
      <c r="F236" s="116">
        <v>27575</v>
      </c>
      <c r="G236" s="118">
        <v>10.98</v>
      </c>
    </row>
    <row r="237" spans="1:7">
      <c r="A237" s="109">
        <v>45237</v>
      </c>
      <c r="B237" s="111">
        <v>0.64390000000000003</v>
      </c>
      <c r="F237" s="116">
        <v>27667</v>
      </c>
      <c r="G237" s="118">
        <v>11.06</v>
      </c>
    </row>
    <row r="238" spans="1:7">
      <c r="A238" s="109">
        <v>45238</v>
      </c>
      <c r="B238" s="111">
        <v>0.64400000000000002</v>
      </c>
      <c r="F238" s="116">
        <v>27759</v>
      </c>
      <c r="G238" s="118">
        <v>11.68</v>
      </c>
    </row>
    <row r="239" spans="1:7">
      <c r="A239" s="109">
        <v>45239</v>
      </c>
      <c r="B239" s="111">
        <v>0.64159999999999995</v>
      </c>
      <c r="F239" s="116">
        <v>27850</v>
      </c>
      <c r="G239" s="118">
        <v>11.98</v>
      </c>
    </row>
    <row r="240" spans="1:7">
      <c r="A240" s="109">
        <v>45240</v>
      </c>
      <c r="B240" s="111">
        <v>0.6361</v>
      </c>
      <c r="F240" s="116">
        <v>27941</v>
      </c>
      <c r="G240" s="118">
        <v>12.29</v>
      </c>
    </row>
    <row r="241" spans="1:7">
      <c r="A241" s="109">
        <v>45243</v>
      </c>
      <c r="B241" s="111">
        <v>0.63600000000000001</v>
      </c>
      <c r="F241" s="116">
        <v>28033</v>
      </c>
      <c r="G241" s="118">
        <v>12.6</v>
      </c>
    </row>
    <row r="242" spans="1:7">
      <c r="A242" s="109">
        <v>45244</v>
      </c>
      <c r="B242" s="111">
        <v>0.63719999999999999</v>
      </c>
      <c r="F242" s="116">
        <v>28125</v>
      </c>
      <c r="G242" s="118">
        <v>13.34</v>
      </c>
    </row>
    <row r="243" spans="1:7">
      <c r="A243" s="109">
        <v>45245</v>
      </c>
      <c r="B243" s="111">
        <v>0.65</v>
      </c>
      <c r="F243" s="116">
        <v>28215</v>
      </c>
      <c r="G243" s="118">
        <v>13.65</v>
      </c>
    </row>
    <row r="244" spans="1:7">
      <c r="A244" s="109">
        <v>45246</v>
      </c>
      <c r="B244" s="111">
        <v>0.64710000000000001</v>
      </c>
      <c r="F244" s="116">
        <v>28306</v>
      </c>
      <c r="G244" s="118">
        <v>13.96</v>
      </c>
    </row>
    <row r="245" spans="1:7">
      <c r="A245" s="109">
        <v>45247</v>
      </c>
      <c r="B245" s="111">
        <v>0.64680000000000004</v>
      </c>
      <c r="F245" s="116">
        <v>28398</v>
      </c>
      <c r="G245" s="118">
        <v>14.23</v>
      </c>
    </row>
    <row r="246" spans="1:7">
      <c r="A246" s="109">
        <v>45250</v>
      </c>
      <c r="B246" s="111">
        <v>0.65500000000000003</v>
      </c>
      <c r="F246" s="116">
        <v>28490</v>
      </c>
      <c r="G246" s="118">
        <v>14.57</v>
      </c>
    </row>
    <row r="247" spans="1:7">
      <c r="A247" s="109">
        <v>45251</v>
      </c>
      <c r="B247" s="111">
        <v>0.65769999999999995</v>
      </c>
      <c r="F247" s="116">
        <v>28580</v>
      </c>
      <c r="G247" s="118">
        <v>14.77</v>
      </c>
    </row>
    <row r="248" spans="1:7">
      <c r="A248" s="109">
        <v>45252</v>
      </c>
      <c r="B248" s="111">
        <v>0.65549999999999997</v>
      </c>
      <c r="F248" s="116">
        <v>28671</v>
      </c>
      <c r="G248" s="118">
        <v>15.08</v>
      </c>
    </row>
    <row r="249" spans="1:7">
      <c r="A249" s="109">
        <v>45253</v>
      </c>
      <c r="B249" s="111">
        <v>0.65539999999999998</v>
      </c>
      <c r="F249" s="116">
        <v>28763</v>
      </c>
      <c r="G249" s="118">
        <v>15.35</v>
      </c>
    </row>
    <row r="250" spans="1:7">
      <c r="A250" s="109">
        <v>45254</v>
      </c>
      <c r="B250" s="111">
        <v>0.65629999999999999</v>
      </c>
      <c r="F250" s="116">
        <v>28855</v>
      </c>
      <c r="G250" s="118">
        <v>15.7</v>
      </c>
    </row>
    <row r="251" spans="1:7">
      <c r="A251" s="109">
        <v>45257</v>
      </c>
      <c r="B251" s="111">
        <v>0.65749999999999997</v>
      </c>
      <c r="F251" s="116">
        <v>28945</v>
      </c>
      <c r="G251" s="118">
        <v>15.97</v>
      </c>
    </row>
    <row r="252" spans="1:7">
      <c r="A252" s="109">
        <v>45258</v>
      </c>
      <c r="B252" s="111">
        <v>0.6623</v>
      </c>
      <c r="F252" s="116">
        <v>29036</v>
      </c>
      <c r="G252" s="118">
        <v>16.39</v>
      </c>
    </row>
    <row r="253" spans="1:7">
      <c r="A253" s="109">
        <v>45259</v>
      </c>
      <c r="B253" s="111">
        <v>0.66500000000000004</v>
      </c>
      <c r="F253" s="116">
        <v>29128</v>
      </c>
      <c r="G253" s="118">
        <v>16.78</v>
      </c>
    </row>
    <row r="254" spans="1:7">
      <c r="A254" s="109">
        <v>45260</v>
      </c>
      <c r="B254" s="111">
        <v>0.66479999999999995</v>
      </c>
      <c r="F254" s="116">
        <v>29220</v>
      </c>
      <c r="G254" s="118">
        <v>17.28</v>
      </c>
    </row>
    <row r="255" spans="1:7">
      <c r="A255" s="109">
        <v>45261</v>
      </c>
      <c r="B255" s="111">
        <v>0.66110000000000002</v>
      </c>
      <c r="F255" s="116">
        <v>29311</v>
      </c>
      <c r="G255" s="118">
        <v>17.670000000000002</v>
      </c>
    </row>
    <row r="256" spans="1:7">
      <c r="A256" s="109">
        <v>45264</v>
      </c>
      <c r="B256" s="111">
        <v>0.66559999999999997</v>
      </c>
      <c r="F256" s="116">
        <v>29402</v>
      </c>
      <c r="G256" s="118">
        <v>18.170000000000002</v>
      </c>
    </row>
    <row r="257" spans="1:7">
      <c r="A257" s="109">
        <v>45265</v>
      </c>
      <c r="B257" s="111">
        <v>0.65839999999999999</v>
      </c>
      <c r="F257" s="116">
        <v>29494</v>
      </c>
      <c r="G257" s="118">
        <v>18.48</v>
      </c>
    </row>
    <row r="258" spans="1:7">
      <c r="A258" s="109">
        <v>45266</v>
      </c>
      <c r="B258" s="111">
        <v>0.65810000000000002</v>
      </c>
      <c r="F258" s="116">
        <v>29586</v>
      </c>
      <c r="G258" s="118">
        <v>18.87</v>
      </c>
    </row>
    <row r="259" spans="1:7">
      <c r="A259" s="109">
        <v>45267</v>
      </c>
      <c r="B259" s="111">
        <v>0.65290000000000004</v>
      </c>
      <c r="F259" s="116">
        <v>29676</v>
      </c>
      <c r="G259" s="118">
        <v>19.329999999999998</v>
      </c>
    </row>
    <row r="260" spans="1:7">
      <c r="A260" s="109">
        <v>45268</v>
      </c>
      <c r="B260" s="111">
        <v>0.66180000000000005</v>
      </c>
      <c r="F260" s="116">
        <v>29767</v>
      </c>
      <c r="G260" s="118">
        <v>19.760000000000002</v>
      </c>
    </row>
    <row r="261" spans="1:7">
      <c r="A261" s="109">
        <v>45271</v>
      </c>
      <c r="B261" s="111">
        <v>0.65549999999999997</v>
      </c>
      <c r="F261" s="116">
        <v>29859</v>
      </c>
      <c r="G261" s="118">
        <v>20.14</v>
      </c>
    </row>
    <row r="262" spans="1:7">
      <c r="A262" s="109">
        <v>45272</v>
      </c>
      <c r="B262" s="111">
        <v>0.65910000000000002</v>
      </c>
      <c r="F262" s="116">
        <v>29951</v>
      </c>
      <c r="G262" s="118">
        <v>20.99</v>
      </c>
    </row>
    <row r="263" spans="1:7">
      <c r="A263" s="109">
        <v>45273</v>
      </c>
      <c r="B263" s="111">
        <v>0.65549999999999997</v>
      </c>
      <c r="F263" s="116">
        <v>30041</v>
      </c>
      <c r="G263" s="118">
        <v>21.38</v>
      </c>
    </row>
    <row r="264" spans="1:7">
      <c r="A264" s="109">
        <v>45274</v>
      </c>
      <c r="B264" s="111">
        <v>0.67120000000000002</v>
      </c>
      <c r="F264" s="116">
        <v>30132</v>
      </c>
      <c r="G264" s="118">
        <v>21.88</v>
      </c>
    </row>
    <row r="265" spans="1:7">
      <c r="A265" s="109">
        <v>45275</v>
      </c>
      <c r="B265" s="111">
        <v>0.67169999999999996</v>
      </c>
      <c r="F265" s="116">
        <v>30224</v>
      </c>
      <c r="G265" s="118">
        <v>22.65</v>
      </c>
    </row>
    <row r="266" spans="1:7">
      <c r="A266" s="109">
        <v>45278</v>
      </c>
      <c r="B266" s="111">
        <v>0.6714</v>
      </c>
      <c r="F266" s="116">
        <v>30316</v>
      </c>
      <c r="G266" s="118">
        <v>23.31</v>
      </c>
    </row>
    <row r="267" spans="1:7">
      <c r="A267" s="109">
        <v>45279</v>
      </c>
      <c r="B267" s="111">
        <v>0.6724</v>
      </c>
      <c r="F267" s="116">
        <v>30406</v>
      </c>
      <c r="G267" s="118">
        <v>23.81</v>
      </c>
    </row>
    <row r="268" spans="1:7">
      <c r="A268" s="109">
        <v>45280</v>
      </c>
      <c r="B268" s="111">
        <v>0.67749999999999999</v>
      </c>
      <c r="F268" s="116">
        <v>30497</v>
      </c>
      <c r="G268" s="118">
        <v>24.32</v>
      </c>
    </row>
    <row r="269" spans="1:7">
      <c r="A269" s="109">
        <v>45281</v>
      </c>
      <c r="B269" s="111">
        <v>0.67479999999999996</v>
      </c>
      <c r="F269" s="116">
        <v>30589</v>
      </c>
      <c r="G269" s="118">
        <v>24.74</v>
      </c>
    </row>
    <row r="270" spans="1:7">
      <c r="A270" s="109">
        <v>45282</v>
      </c>
      <c r="B270" s="111">
        <v>0.67820000000000003</v>
      </c>
      <c r="F270" s="116">
        <v>30681</v>
      </c>
      <c r="G270" s="118">
        <v>25.32</v>
      </c>
    </row>
    <row r="271" spans="1:7">
      <c r="A271" s="109">
        <v>45287</v>
      </c>
      <c r="B271" s="111">
        <v>0.68369999999999997</v>
      </c>
      <c r="F271" s="116">
        <v>30772</v>
      </c>
      <c r="G271" s="118">
        <v>25.21</v>
      </c>
    </row>
    <row r="272" spans="1:7">
      <c r="A272" s="109">
        <v>45288</v>
      </c>
      <c r="B272" s="111">
        <v>0.68420000000000003</v>
      </c>
      <c r="F272" s="116">
        <v>30863</v>
      </c>
      <c r="G272" s="118">
        <v>25.28</v>
      </c>
    </row>
    <row r="273" spans="1:7">
      <c r="A273" s="109">
        <v>45289</v>
      </c>
      <c r="B273" s="111">
        <v>0.68400000000000005</v>
      </c>
      <c r="F273" s="116">
        <v>30955</v>
      </c>
      <c r="G273" s="118">
        <v>25.59</v>
      </c>
    </row>
    <row r="274" spans="1:7">
      <c r="A274" s="109">
        <v>45293</v>
      </c>
      <c r="B274" s="111">
        <v>0.68200000000000005</v>
      </c>
      <c r="F274" s="116">
        <v>31047</v>
      </c>
      <c r="G274" s="118">
        <v>25.98</v>
      </c>
    </row>
    <row r="275" spans="1:7">
      <c r="A275" s="109">
        <v>45294</v>
      </c>
      <c r="B275" s="111">
        <v>0.67630000000000001</v>
      </c>
      <c r="F275" s="116">
        <v>31137</v>
      </c>
      <c r="G275" s="118">
        <v>26.33</v>
      </c>
    </row>
    <row r="276" spans="1:7">
      <c r="A276" s="109">
        <v>45295</v>
      </c>
      <c r="B276" s="111">
        <v>0.67379999999999995</v>
      </c>
      <c r="F276" s="116">
        <v>31228</v>
      </c>
      <c r="G276" s="118">
        <v>26.95</v>
      </c>
    </row>
    <row r="277" spans="1:7">
      <c r="A277" s="109">
        <v>45296</v>
      </c>
      <c r="B277" s="111">
        <v>0.66979999999999995</v>
      </c>
      <c r="F277" s="116">
        <v>31320</v>
      </c>
      <c r="G277" s="118">
        <v>27.56</v>
      </c>
    </row>
    <row r="278" spans="1:7">
      <c r="A278" s="109">
        <v>45299</v>
      </c>
      <c r="B278" s="111">
        <v>0.66990000000000005</v>
      </c>
      <c r="F278" s="116">
        <v>31412</v>
      </c>
      <c r="G278" s="118">
        <v>28.11</v>
      </c>
    </row>
    <row r="279" spans="1:7">
      <c r="A279" s="109">
        <v>45300</v>
      </c>
      <c r="B279" s="111">
        <v>0.67190000000000005</v>
      </c>
      <c r="F279" s="116">
        <v>31502</v>
      </c>
      <c r="G279" s="118">
        <v>28.76</v>
      </c>
    </row>
    <row r="280" spans="1:7">
      <c r="A280" s="109">
        <v>45301</v>
      </c>
      <c r="B280" s="111">
        <v>0.67030000000000001</v>
      </c>
      <c r="F280" s="116">
        <v>31593</v>
      </c>
      <c r="G280" s="118">
        <v>29.23</v>
      </c>
    </row>
    <row r="281" spans="1:7">
      <c r="A281" s="109">
        <v>45302</v>
      </c>
      <c r="B281" s="111">
        <v>0.67200000000000004</v>
      </c>
      <c r="F281" s="116">
        <v>31685</v>
      </c>
      <c r="G281" s="118">
        <v>30</v>
      </c>
    </row>
    <row r="282" spans="1:7">
      <c r="A282" s="109">
        <v>45303</v>
      </c>
      <c r="B282" s="111">
        <v>0.6704</v>
      </c>
      <c r="F282" s="116">
        <v>31777</v>
      </c>
      <c r="G282" s="118">
        <v>30.85</v>
      </c>
    </row>
    <row r="283" spans="1:7">
      <c r="A283" s="109">
        <v>45306</v>
      </c>
      <c r="B283" s="111">
        <v>0.66930000000000001</v>
      </c>
      <c r="F283" s="116">
        <v>31867</v>
      </c>
      <c r="G283" s="118">
        <v>31.47</v>
      </c>
    </row>
    <row r="284" spans="1:7">
      <c r="A284" s="109">
        <v>45307</v>
      </c>
      <c r="B284" s="111">
        <v>0.66149999999999998</v>
      </c>
      <c r="F284" s="116">
        <v>31958</v>
      </c>
      <c r="G284" s="118">
        <v>31.93</v>
      </c>
    </row>
    <row r="285" spans="1:7">
      <c r="A285" s="109">
        <v>45308</v>
      </c>
      <c r="B285" s="111">
        <v>0.65710000000000002</v>
      </c>
      <c r="F285" s="116">
        <v>32050</v>
      </c>
      <c r="G285" s="118">
        <v>32.47</v>
      </c>
    </row>
    <row r="286" spans="1:7">
      <c r="A286" s="109">
        <v>45309</v>
      </c>
      <c r="B286" s="111">
        <v>0.65580000000000005</v>
      </c>
      <c r="F286" s="116">
        <v>32142</v>
      </c>
      <c r="G286" s="118">
        <v>33.049999999999997</v>
      </c>
    </row>
    <row r="287" spans="1:7">
      <c r="A287" s="109">
        <v>45310</v>
      </c>
      <c r="B287" s="111">
        <v>0.65790000000000004</v>
      </c>
      <c r="F287" s="116">
        <v>32233</v>
      </c>
      <c r="G287" s="118">
        <v>33.630000000000003</v>
      </c>
    </row>
    <row r="288" spans="1:7">
      <c r="A288" s="109">
        <v>45313</v>
      </c>
      <c r="B288" s="111">
        <v>0.65939999999999999</v>
      </c>
      <c r="F288" s="116">
        <v>32324</v>
      </c>
      <c r="G288" s="118">
        <v>34.21</v>
      </c>
    </row>
    <row r="289" spans="1:7">
      <c r="A289" s="109">
        <v>45314</v>
      </c>
      <c r="B289" s="111">
        <v>0.66020000000000001</v>
      </c>
      <c r="F289" s="116">
        <v>32416</v>
      </c>
      <c r="G289" s="118">
        <v>34.869999999999997</v>
      </c>
    </row>
    <row r="290" spans="1:7">
      <c r="A290" s="109">
        <v>45315</v>
      </c>
      <c r="B290" s="111">
        <v>0.65749999999999997</v>
      </c>
      <c r="F290" s="116">
        <v>32508</v>
      </c>
      <c r="G290" s="118">
        <v>35.57</v>
      </c>
    </row>
    <row r="291" spans="1:7">
      <c r="A291" s="109">
        <v>45316</v>
      </c>
      <c r="B291" s="111">
        <v>0.65749999999999997</v>
      </c>
      <c r="F291" s="116">
        <v>32598</v>
      </c>
      <c r="G291" s="118">
        <v>35.909999999999997</v>
      </c>
    </row>
    <row r="292" spans="1:7">
      <c r="A292" s="109">
        <v>45320</v>
      </c>
      <c r="B292" s="111">
        <v>0.65900000000000003</v>
      </c>
      <c r="F292" s="116">
        <v>32689</v>
      </c>
      <c r="G292" s="118">
        <v>36.799999999999997</v>
      </c>
    </row>
    <row r="293" spans="1:7">
      <c r="A293" s="109">
        <v>45321</v>
      </c>
      <c r="B293" s="111">
        <v>0.66090000000000004</v>
      </c>
      <c r="F293" s="116">
        <v>32781</v>
      </c>
      <c r="G293" s="118">
        <v>37.65</v>
      </c>
    </row>
    <row r="294" spans="1:7">
      <c r="A294" s="109">
        <v>45322</v>
      </c>
      <c r="B294" s="111">
        <v>0.65739999999999998</v>
      </c>
      <c r="F294" s="116">
        <v>32873</v>
      </c>
      <c r="G294" s="118">
        <v>38.35</v>
      </c>
    </row>
    <row r="295" spans="1:7">
      <c r="A295" s="109">
        <v>45323</v>
      </c>
      <c r="B295" s="111">
        <v>0.65529999999999999</v>
      </c>
      <c r="F295" s="116">
        <v>32963</v>
      </c>
      <c r="G295" s="118">
        <v>39.01</v>
      </c>
    </row>
    <row r="296" spans="1:7">
      <c r="A296" s="109">
        <v>45324</v>
      </c>
      <c r="B296" s="111">
        <v>0.65969999999999995</v>
      </c>
      <c r="F296" s="116">
        <v>33054</v>
      </c>
      <c r="G296" s="118">
        <v>39.630000000000003</v>
      </c>
    </row>
    <row r="297" spans="1:7">
      <c r="A297" s="109">
        <v>45327</v>
      </c>
      <c r="B297" s="111">
        <v>0.65080000000000005</v>
      </c>
      <c r="F297" s="116">
        <v>33146</v>
      </c>
      <c r="G297" s="118">
        <v>39.94</v>
      </c>
    </row>
    <row r="298" spans="1:7">
      <c r="A298" s="109">
        <v>45328</v>
      </c>
      <c r="B298" s="111">
        <v>0.65149999999999997</v>
      </c>
      <c r="F298" s="116">
        <v>33238</v>
      </c>
      <c r="G298" s="118">
        <v>40.98</v>
      </c>
    </row>
    <row r="299" spans="1:7">
      <c r="A299" s="109">
        <v>45329</v>
      </c>
      <c r="B299" s="111">
        <v>0.65290000000000004</v>
      </c>
      <c r="F299" s="116">
        <v>33328</v>
      </c>
      <c r="G299" s="118">
        <v>40.9</v>
      </c>
    </row>
    <row r="300" spans="1:7">
      <c r="A300" s="109">
        <v>45330</v>
      </c>
      <c r="B300" s="111">
        <v>0.65229999999999999</v>
      </c>
      <c r="F300" s="116">
        <v>33419</v>
      </c>
      <c r="G300" s="118">
        <v>40.98</v>
      </c>
    </row>
    <row r="301" spans="1:7">
      <c r="A301" s="109">
        <v>45331</v>
      </c>
      <c r="B301" s="111">
        <v>0.6492</v>
      </c>
      <c r="F301" s="116">
        <v>33511</v>
      </c>
      <c r="G301" s="118">
        <v>41.21</v>
      </c>
    </row>
    <row r="302" spans="1:7">
      <c r="A302" s="109">
        <v>45334</v>
      </c>
      <c r="B302" s="111">
        <v>0.65180000000000005</v>
      </c>
      <c r="F302" s="116">
        <v>33603</v>
      </c>
      <c r="G302" s="118">
        <v>41.6</v>
      </c>
    </row>
    <row r="303" spans="1:7">
      <c r="A303" s="109">
        <v>45335</v>
      </c>
      <c r="B303" s="111">
        <v>0.65159999999999996</v>
      </c>
      <c r="F303" s="116">
        <v>33694</v>
      </c>
      <c r="G303" s="118">
        <v>41.6</v>
      </c>
    </row>
    <row r="304" spans="1:7">
      <c r="A304" s="109">
        <v>45336</v>
      </c>
      <c r="B304" s="111">
        <v>0.64639999999999997</v>
      </c>
      <c r="F304" s="116">
        <v>33785</v>
      </c>
      <c r="G304" s="118">
        <v>41.48</v>
      </c>
    </row>
    <row r="305" spans="1:7">
      <c r="A305" s="109">
        <v>45337</v>
      </c>
      <c r="B305" s="111">
        <v>0.64849999999999997</v>
      </c>
      <c r="F305" s="116">
        <v>33877</v>
      </c>
      <c r="G305" s="118">
        <v>41.52</v>
      </c>
    </row>
    <row r="306" spans="1:7">
      <c r="A306" s="109">
        <v>45338</v>
      </c>
      <c r="B306" s="111">
        <v>0.65180000000000005</v>
      </c>
      <c r="F306" s="116">
        <v>33969</v>
      </c>
      <c r="G306" s="118">
        <v>41.71</v>
      </c>
    </row>
    <row r="307" spans="1:7">
      <c r="A307" s="109">
        <v>45341</v>
      </c>
      <c r="B307" s="111">
        <v>0.65439999999999998</v>
      </c>
      <c r="F307" s="116">
        <v>34059</v>
      </c>
      <c r="G307" s="118">
        <v>42.1</v>
      </c>
    </row>
    <row r="308" spans="1:7">
      <c r="A308" s="109">
        <v>45342</v>
      </c>
      <c r="B308" s="111">
        <v>0.65310000000000001</v>
      </c>
      <c r="F308" s="116">
        <v>34150</v>
      </c>
      <c r="G308" s="118">
        <v>42.25</v>
      </c>
    </row>
    <row r="309" spans="1:7">
      <c r="A309" s="109">
        <v>45343</v>
      </c>
      <c r="B309" s="111">
        <v>0.65680000000000005</v>
      </c>
      <c r="F309" s="116">
        <v>34242</v>
      </c>
      <c r="G309" s="118">
        <v>42.45</v>
      </c>
    </row>
    <row r="310" spans="1:7">
      <c r="A310" s="109">
        <v>45344</v>
      </c>
      <c r="B310" s="111">
        <v>0.65590000000000004</v>
      </c>
      <c r="F310" s="116">
        <v>34334</v>
      </c>
      <c r="G310" s="118">
        <v>42.53</v>
      </c>
    </row>
    <row r="311" spans="1:7">
      <c r="A311" s="109">
        <v>45345</v>
      </c>
      <c r="B311" s="111">
        <v>0.65720000000000001</v>
      </c>
      <c r="F311" s="116">
        <v>34424</v>
      </c>
      <c r="G311" s="118">
        <v>42.68</v>
      </c>
    </row>
    <row r="312" spans="1:7">
      <c r="A312" s="109">
        <v>45348</v>
      </c>
      <c r="B312" s="111">
        <v>0.65569999999999995</v>
      </c>
      <c r="F312" s="116">
        <v>34515</v>
      </c>
      <c r="G312" s="118">
        <v>42.99</v>
      </c>
    </row>
    <row r="313" spans="1:7">
      <c r="A313" s="109">
        <v>45349</v>
      </c>
      <c r="B313" s="111">
        <v>0.65439999999999998</v>
      </c>
      <c r="F313" s="116">
        <v>34607</v>
      </c>
      <c r="G313" s="118">
        <v>43.26</v>
      </c>
    </row>
    <row r="314" spans="1:7">
      <c r="A314" s="109">
        <v>45350</v>
      </c>
      <c r="B314" s="111">
        <v>0.65190000000000003</v>
      </c>
      <c r="F314" s="116">
        <v>34699</v>
      </c>
      <c r="G314" s="118">
        <v>43.61</v>
      </c>
    </row>
    <row r="315" spans="1:7">
      <c r="A315" s="109">
        <v>45351</v>
      </c>
      <c r="B315" s="111">
        <v>0.65190000000000003</v>
      </c>
      <c r="F315" s="116">
        <v>34789</v>
      </c>
      <c r="G315" s="118">
        <v>44.34</v>
      </c>
    </row>
    <row r="316" spans="1:7">
      <c r="A316" s="109">
        <v>45352</v>
      </c>
      <c r="B316" s="111">
        <v>0.65100000000000002</v>
      </c>
      <c r="F316" s="116">
        <v>34880</v>
      </c>
      <c r="G316" s="118">
        <v>44.92</v>
      </c>
    </row>
    <row r="317" spans="1:7">
      <c r="A317" s="109">
        <v>45355</v>
      </c>
      <c r="B317" s="111">
        <v>0.65200000000000002</v>
      </c>
      <c r="F317" s="116">
        <v>34972</v>
      </c>
      <c r="G317" s="118">
        <v>45.46</v>
      </c>
    </row>
    <row r="318" spans="1:7">
      <c r="A318" s="109">
        <v>45356</v>
      </c>
      <c r="B318" s="111">
        <v>0.6502</v>
      </c>
      <c r="F318" s="116">
        <v>35064</v>
      </c>
      <c r="G318" s="118">
        <v>45.81</v>
      </c>
    </row>
    <row r="319" spans="1:7">
      <c r="A319" s="109">
        <v>45357</v>
      </c>
      <c r="B319" s="111">
        <v>0.65139999999999998</v>
      </c>
      <c r="F319" s="116">
        <v>35155</v>
      </c>
      <c r="G319" s="118">
        <v>46</v>
      </c>
    </row>
    <row r="320" spans="1:7">
      <c r="A320" s="109">
        <v>45358</v>
      </c>
      <c r="B320" s="111">
        <v>0.65859999999999996</v>
      </c>
      <c r="F320" s="116">
        <v>35246</v>
      </c>
      <c r="G320" s="118">
        <v>46.31</v>
      </c>
    </row>
    <row r="321" spans="1:7">
      <c r="A321" s="109">
        <v>45359</v>
      </c>
      <c r="B321" s="111">
        <v>0.66259999999999997</v>
      </c>
      <c r="F321" s="116">
        <v>35338</v>
      </c>
      <c r="G321" s="118">
        <v>46.43</v>
      </c>
    </row>
    <row r="322" spans="1:7">
      <c r="A322" s="109">
        <v>45362</v>
      </c>
      <c r="B322" s="111">
        <v>0.66110000000000002</v>
      </c>
      <c r="F322" s="116">
        <v>35430</v>
      </c>
      <c r="G322" s="118">
        <v>46.51</v>
      </c>
    </row>
    <row r="323" spans="1:7">
      <c r="A323" s="109">
        <v>45363</v>
      </c>
      <c r="B323" s="111">
        <v>0.66149999999999998</v>
      </c>
      <c r="F323" s="116">
        <v>35520</v>
      </c>
      <c r="G323" s="118">
        <v>46.58</v>
      </c>
    </row>
    <row r="324" spans="1:7">
      <c r="A324" s="109">
        <v>45364</v>
      </c>
      <c r="B324" s="111">
        <v>0.66139999999999999</v>
      </c>
      <c r="F324" s="116">
        <v>35611</v>
      </c>
      <c r="G324" s="118">
        <v>46.47</v>
      </c>
    </row>
    <row r="325" spans="1:7">
      <c r="A325" s="109">
        <v>45365</v>
      </c>
      <c r="B325" s="111">
        <v>0.66159999999999997</v>
      </c>
      <c r="F325" s="116">
        <v>35703</v>
      </c>
      <c r="G325" s="118">
        <v>46.28</v>
      </c>
    </row>
    <row r="326" spans="1:7">
      <c r="A326" s="109">
        <v>45366</v>
      </c>
      <c r="B326" s="111">
        <v>0.65669999999999995</v>
      </c>
      <c r="F326" s="116">
        <v>35795</v>
      </c>
      <c r="G326" s="118">
        <v>46.39</v>
      </c>
    </row>
    <row r="327" spans="1:7">
      <c r="A327" s="109">
        <v>45369</v>
      </c>
      <c r="B327" s="111">
        <v>0.65659999999999996</v>
      </c>
      <c r="F327" s="116">
        <v>35885</v>
      </c>
      <c r="G327" s="118">
        <v>46.51</v>
      </c>
    </row>
    <row r="328" spans="1:7">
      <c r="A328" s="109">
        <v>45370</v>
      </c>
      <c r="B328" s="111">
        <v>0.65290000000000004</v>
      </c>
      <c r="F328" s="116">
        <v>35976</v>
      </c>
      <c r="G328" s="118">
        <v>46.78</v>
      </c>
    </row>
    <row r="329" spans="1:7">
      <c r="A329" s="109">
        <v>45371</v>
      </c>
      <c r="B329" s="111">
        <v>0.65259999999999996</v>
      </c>
      <c r="F329" s="116">
        <v>36068</v>
      </c>
      <c r="G329" s="118">
        <v>46.91</v>
      </c>
    </row>
    <row r="330" spans="1:7">
      <c r="A330" s="109">
        <v>45372</v>
      </c>
      <c r="B330" s="111">
        <v>0.66239999999999999</v>
      </c>
      <c r="F330" s="116">
        <v>36160</v>
      </c>
      <c r="G330" s="118">
        <v>47.11</v>
      </c>
    </row>
    <row r="331" spans="1:7">
      <c r="A331" s="109">
        <v>45373</v>
      </c>
      <c r="B331" s="111">
        <v>0.65249999999999997</v>
      </c>
      <c r="F331" s="116">
        <v>36250</v>
      </c>
      <c r="G331" s="118">
        <v>47.08</v>
      </c>
    </row>
    <row r="332" spans="1:7">
      <c r="A332" s="109">
        <v>45376</v>
      </c>
      <c r="B332" s="111">
        <v>0.65280000000000005</v>
      </c>
      <c r="F332" s="116">
        <v>36341</v>
      </c>
      <c r="G332" s="118">
        <v>47.29</v>
      </c>
    </row>
    <row r="333" spans="1:7">
      <c r="A333" s="109">
        <v>45377</v>
      </c>
      <c r="B333" s="111">
        <v>0.65390000000000004</v>
      </c>
      <c r="F333" s="116">
        <v>36433</v>
      </c>
      <c r="G333" s="118">
        <v>47.72</v>
      </c>
    </row>
    <row r="334" spans="1:7">
      <c r="A334" s="109">
        <v>45378</v>
      </c>
      <c r="B334" s="111">
        <v>0.65290000000000004</v>
      </c>
      <c r="F334" s="116">
        <v>36525</v>
      </c>
      <c r="G334" s="118">
        <v>47.97</v>
      </c>
    </row>
    <row r="335" spans="1:7">
      <c r="A335" s="109">
        <v>45379</v>
      </c>
      <c r="B335" s="111">
        <v>0.6532</v>
      </c>
      <c r="F335" s="116">
        <v>36616</v>
      </c>
      <c r="G335" s="118">
        <v>48.4</v>
      </c>
    </row>
    <row r="336" spans="1:7">
      <c r="A336" s="109">
        <v>45384</v>
      </c>
      <c r="B336" s="111">
        <v>0.64900000000000002</v>
      </c>
      <c r="F336" s="116">
        <v>36707</v>
      </c>
      <c r="G336" s="118">
        <v>48.77</v>
      </c>
    </row>
    <row r="337" spans="1:7">
      <c r="A337" s="109">
        <v>45385</v>
      </c>
      <c r="B337" s="111">
        <v>0.65190000000000003</v>
      </c>
      <c r="F337" s="116">
        <v>36799</v>
      </c>
      <c r="G337" s="118">
        <v>50.59</v>
      </c>
    </row>
    <row r="338" spans="1:7">
      <c r="A338" s="109">
        <v>45386</v>
      </c>
      <c r="B338" s="111">
        <v>0.65869999999999995</v>
      </c>
      <c r="F338" s="116">
        <v>36891</v>
      </c>
      <c r="G338" s="118">
        <v>50.76</v>
      </c>
    </row>
    <row r="339" spans="1:7">
      <c r="A339" s="109">
        <v>45387</v>
      </c>
      <c r="B339" s="111">
        <v>0.65720000000000001</v>
      </c>
      <c r="F339" s="116">
        <v>36981</v>
      </c>
      <c r="G339" s="118">
        <v>51.3</v>
      </c>
    </row>
    <row r="340" spans="1:7">
      <c r="A340" s="109">
        <v>45390</v>
      </c>
      <c r="B340" s="111">
        <v>0.65790000000000004</v>
      </c>
      <c r="F340" s="116">
        <v>37072</v>
      </c>
      <c r="G340" s="118">
        <v>51.73</v>
      </c>
    </row>
    <row r="341" spans="1:7">
      <c r="A341" s="109">
        <v>45391</v>
      </c>
      <c r="B341" s="111">
        <v>0.66080000000000005</v>
      </c>
      <c r="F341" s="116">
        <v>37164</v>
      </c>
      <c r="G341" s="118">
        <v>51.87</v>
      </c>
    </row>
    <row r="342" spans="1:7">
      <c r="A342" s="109">
        <v>45392</v>
      </c>
      <c r="B342" s="111">
        <v>0.66210000000000002</v>
      </c>
      <c r="F342" s="116">
        <v>37256</v>
      </c>
      <c r="G342" s="118">
        <v>52.35</v>
      </c>
    </row>
    <row r="343" spans="1:7">
      <c r="A343" s="109">
        <v>45393</v>
      </c>
      <c r="B343" s="111">
        <v>0.65229999999999999</v>
      </c>
      <c r="F343" s="116">
        <v>37346</v>
      </c>
      <c r="G343" s="118">
        <v>52.82</v>
      </c>
    </row>
    <row r="344" spans="1:7">
      <c r="A344" s="109">
        <v>45394</v>
      </c>
      <c r="B344" s="111">
        <v>0.65259999999999996</v>
      </c>
      <c r="F344" s="116">
        <v>37437</v>
      </c>
      <c r="G344" s="118">
        <v>53.2</v>
      </c>
    </row>
    <row r="345" spans="1:7">
      <c r="A345" s="109">
        <v>45397</v>
      </c>
      <c r="B345" s="111">
        <v>0.64880000000000004</v>
      </c>
      <c r="F345" s="116">
        <v>37529</v>
      </c>
      <c r="G345" s="118">
        <v>53.56</v>
      </c>
    </row>
    <row r="346" spans="1:7">
      <c r="A346" s="109">
        <v>45398</v>
      </c>
      <c r="B346" s="111">
        <v>0.64259999999999995</v>
      </c>
      <c r="F346" s="116">
        <v>37621</v>
      </c>
      <c r="G346" s="118">
        <v>53.92</v>
      </c>
    </row>
    <row r="347" spans="1:7">
      <c r="A347" s="109">
        <v>45399</v>
      </c>
      <c r="B347" s="111">
        <v>0.64080000000000004</v>
      </c>
      <c r="F347" s="116">
        <v>37711</v>
      </c>
      <c r="G347" s="118">
        <v>54.62</v>
      </c>
    </row>
    <row r="348" spans="1:7">
      <c r="A348" s="109">
        <v>45400</v>
      </c>
      <c r="B348" s="111">
        <v>0.64480000000000004</v>
      </c>
      <c r="F348" s="116">
        <v>37802</v>
      </c>
      <c r="G348" s="118">
        <v>54.62</v>
      </c>
    </row>
    <row r="349" spans="1:7">
      <c r="A349" s="109">
        <v>45401</v>
      </c>
      <c r="B349" s="111">
        <v>0.63970000000000005</v>
      </c>
      <c r="F349" s="116">
        <v>37894</v>
      </c>
      <c r="G349" s="118">
        <v>54.93</v>
      </c>
    </row>
    <row r="350" spans="1:7">
      <c r="A350" s="109">
        <v>45404</v>
      </c>
      <c r="B350" s="111">
        <v>0.64339999999999997</v>
      </c>
      <c r="F350" s="116">
        <v>37986</v>
      </c>
      <c r="G350" s="118">
        <v>55.22</v>
      </c>
    </row>
    <row r="351" spans="1:7">
      <c r="A351" s="109">
        <v>45405</v>
      </c>
      <c r="B351" s="111">
        <v>0.64549999999999996</v>
      </c>
      <c r="F351" s="116">
        <v>38077</v>
      </c>
      <c r="G351" s="118">
        <v>55.71</v>
      </c>
    </row>
    <row r="352" spans="1:7">
      <c r="A352" s="109">
        <v>45406</v>
      </c>
      <c r="B352" s="111">
        <v>0.65190000000000003</v>
      </c>
      <c r="F352" s="116">
        <v>38168</v>
      </c>
      <c r="G352" s="118">
        <v>55.97</v>
      </c>
    </row>
    <row r="353" spans="1:7">
      <c r="A353" s="109">
        <v>45408</v>
      </c>
      <c r="B353" s="111">
        <v>0.65390000000000004</v>
      </c>
      <c r="F353" s="116">
        <v>38260</v>
      </c>
      <c r="G353" s="118">
        <v>56.2</v>
      </c>
    </row>
    <row r="354" spans="1:7">
      <c r="A354" s="109">
        <v>45411</v>
      </c>
      <c r="B354" s="111">
        <v>0.65690000000000004</v>
      </c>
      <c r="F354" s="116">
        <v>38352</v>
      </c>
      <c r="G354" s="118">
        <v>56.63</v>
      </c>
    </row>
    <row r="355" spans="1:7">
      <c r="A355" s="109">
        <v>45412</v>
      </c>
      <c r="B355" s="111">
        <v>0.65249999999999997</v>
      </c>
      <c r="F355" s="116">
        <v>38442</v>
      </c>
      <c r="G355" s="118">
        <v>57.01</v>
      </c>
    </row>
    <row r="356" spans="1:7">
      <c r="A356" s="109">
        <v>45413</v>
      </c>
      <c r="B356" s="111">
        <v>0.64749999999999996</v>
      </c>
      <c r="F356" s="116">
        <v>38533</v>
      </c>
      <c r="G356" s="118">
        <v>57.35</v>
      </c>
    </row>
    <row r="357" spans="1:7">
      <c r="A357" s="109">
        <v>45414</v>
      </c>
      <c r="B357" s="111">
        <v>0.65410000000000001</v>
      </c>
      <c r="F357" s="116">
        <v>38625</v>
      </c>
      <c r="G357" s="118">
        <v>57.92</v>
      </c>
    </row>
    <row r="358" spans="1:7">
      <c r="A358" s="109">
        <v>45415</v>
      </c>
      <c r="B358" s="111">
        <v>0.65790000000000004</v>
      </c>
      <c r="F358" s="116">
        <v>38717</v>
      </c>
      <c r="G358" s="118">
        <v>58.22</v>
      </c>
    </row>
    <row r="359" spans="1:7">
      <c r="A359" s="109">
        <v>45418</v>
      </c>
      <c r="B359" s="111">
        <v>0.6613</v>
      </c>
      <c r="F359" s="116">
        <v>38807</v>
      </c>
      <c r="G359" s="118">
        <v>58.72</v>
      </c>
    </row>
    <row r="360" spans="1:7">
      <c r="A360" s="109">
        <v>45419</v>
      </c>
      <c r="B360" s="111">
        <v>0.66</v>
      </c>
      <c r="F360" s="116">
        <v>38898</v>
      </c>
      <c r="G360" s="118">
        <v>59.65</v>
      </c>
    </row>
    <row r="361" spans="1:7">
      <c r="A361" s="109">
        <v>45420</v>
      </c>
      <c r="B361" s="111">
        <v>0.65790000000000004</v>
      </c>
      <c r="F361" s="116">
        <v>38990</v>
      </c>
      <c r="G361" s="118">
        <v>60.18</v>
      </c>
    </row>
    <row r="362" spans="1:7">
      <c r="A362" s="109">
        <v>45421</v>
      </c>
      <c r="B362" s="111">
        <v>0.65769999999999995</v>
      </c>
      <c r="F362" s="116">
        <v>39082</v>
      </c>
      <c r="G362" s="118">
        <v>60.11</v>
      </c>
    </row>
    <row r="363" spans="1:7">
      <c r="A363" s="109">
        <v>45422</v>
      </c>
      <c r="B363" s="111">
        <v>0.66100000000000003</v>
      </c>
      <c r="F363" s="116">
        <v>39172</v>
      </c>
      <c r="G363" s="118">
        <v>60.16</v>
      </c>
    </row>
    <row r="364" spans="1:7">
      <c r="A364" s="109">
        <v>45425</v>
      </c>
      <c r="B364" s="111">
        <v>0.65959999999999996</v>
      </c>
      <c r="F364" s="116">
        <v>39263</v>
      </c>
      <c r="G364" s="118">
        <v>60.9</v>
      </c>
    </row>
    <row r="365" spans="1:7">
      <c r="A365" s="109">
        <v>45426</v>
      </c>
      <c r="B365" s="111">
        <v>0.66</v>
      </c>
      <c r="F365" s="116">
        <v>39355</v>
      </c>
      <c r="G365" s="118">
        <v>61.32</v>
      </c>
    </row>
    <row r="366" spans="1:7">
      <c r="A366" s="109">
        <v>45427</v>
      </c>
      <c r="B366" s="111">
        <v>0.66479999999999995</v>
      </c>
      <c r="F366" s="116">
        <v>39447</v>
      </c>
      <c r="G366" s="118">
        <v>61.89</v>
      </c>
    </row>
    <row r="367" spans="1:7">
      <c r="A367" s="109">
        <v>45428</v>
      </c>
      <c r="B367" s="111">
        <v>0.66790000000000005</v>
      </c>
      <c r="F367" s="116">
        <v>39538</v>
      </c>
      <c r="G367" s="118">
        <v>62.72</v>
      </c>
    </row>
    <row r="368" spans="1:7">
      <c r="A368" s="109">
        <v>45429</v>
      </c>
      <c r="B368" s="111">
        <v>0.6673</v>
      </c>
      <c r="F368" s="116">
        <v>39629</v>
      </c>
      <c r="G368" s="118">
        <v>63.63</v>
      </c>
    </row>
    <row r="369" spans="1:7">
      <c r="A369" s="109">
        <v>45432</v>
      </c>
      <c r="B369" s="111">
        <v>0.6704</v>
      </c>
      <c r="F369" s="116">
        <v>39721</v>
      </c>
      <c r="G369" s="118">
        <v>64.37</v>
      </c>
    </row>
    <row r="370" spans="1:7">
      <c r="A370" s="109">
        <v>45433</v>
      </c>
      <c r="B370" s="111">
        <v>0.66579999999999995</v>
      </c>
      <c r="F370" s="116">
        <v>39813</v>
      </c>
      <c r="G370" s="118">
        <v>64.16</v>
      </c>
    </row>
    <row r="371" spans="1:7">
      <c r="A371" s="109">
        <v>45434</v>
      </c>
      <c r="B371" s="111">
        <v>0.66739999999999999</v>
      </c>
      <c r="F371" s="116">
        <v>39903</v>
      </c>
      <c r="G371" s="118">
        <v>64.23</v>
      </c>
    </row>
    <row r="372" spans="1:7">
      <c r="A372" s="109">
        <v>45435</v>
      </c>
      <c r="B372" s="111">
        <v>0.66210000000000002</v>
      </c>
      <c r="F372" s="116">
        <v>39994</v>
      </c>
      <c r="G372" s="118">
        <v>64.55</v>
      </c>
    </row>
    <row r="373" spans="1:7">
      <c r="A373" s="109">
        <v>45436</v>
      </c>
      <c r="B373" s="111">
        <v>0.66</v>
      </c>
      <c r="F373" s="116">
        <v>40086</v>
      </c>
      <c r="G373" s="118">
        <v>65.16</v>
      </c>
    </row>
    <row r="374" spans="1:7">
      <c r="A374" s="109">
        <v>45439</v>
      </c>
      <c r="B374" s="111">
        <v>0.66339999999999999</v>
      </c>
      <c r="F374" s="116">
        <v>40178</v>
      </c>
      <c r="G374" s="118">
        <v>65.510000000000005</v>
      </c>
    </row>
    <row r="375" spans="1:7">
      <c r="A375" s="109">
        <v>45440</v>
      </c>
      <c r="B375" s="111">
        <v>0.66669999999999996</v>
      </c>
      <c r="F375" s="116">
        <v>40268</v>
      </c>
      <c r="G375" s="118">
        <v>66.12</v>
      </c>
    </row>
    <row r="376" spans="1:7">
      <c r="A376" s="109">
        <v>45441</v>
      </c>
      <c r="B376" s="111">
        <v>0.66469999999999996</v>
      </c>
      <c r="F376" s="116">
        <v>40359</v>
      </c>
      <c r="G376" s="118">
        <v>66.52</v>
      </c>
    </row>
    <row r="377" spans="1:7">
      <c r="A377" s="109">
        <v>45442</v>
      </c>
      <c r="B377" s="111">
        <v>0.65969999999999995</v>
      </c>
      <c r="F377" s="116">
        <v>40451</v>
      </c>
      <c r="G377" s="118">
        <v>67</v>
      </c>
    </row>
    <row r="378" spans="1:7">
      <c r="A378" s="109">
        <v>45443</v>
      </c>
      <c r="B378" s="111">
        <v>0.66369999999999996</v>
      </c>
      <c r="F378" s="116">
        <v>40543</v>
      </c>
      <c r="G378" s="118">
        <v>67.260000000000005</v>
      </c>
    </row>
    <row r="379" spans="1:7">
      <c r="A379" s="109">
        <v>45446</v>
      </c>
      <c r="B379" s="111">
        <v>0.66459999999999997</v>
      </c>
      <c r="F379" s="116">
        <v>40633</v>
      </c>
      <c r="G379" s="118">
        <v>68.3</v>
      </c>
    </row>
    <row r="380" spans="1:7">
      <c r="A380" s="109">
        <v>45447</v>
      </c>
      <c r="B380" s="111">
        <v>0.66679999999999995</v>
      </c>
      <c r="F380" s="116">
        <v>40724</v>
      </c>
      <c r="G380" s="118">
        <v>68.930000000000007</v>
      </c>
    </row>
    <row r="381" spans="1:7">
      <c r="A381" s="109">
        <v>45448</v>
      </c>
      <c r="B381" s="111">
        <v>0.66579999999999995</v>
      </c>
      <c r="F381" s="116">
        <v>40816</v>
      </c>
      <c r="G381" s="118">
        <v>69.34</v>
      </c>
    </row>
    <row r="382" spans="1:7">
      <c r="A382" s="109">
        <v>45449</v>
      </c>
      <c r="B382" s="111">
        <v>0.66600000000000004</v>
      </c>
      <c r="F382" s="116">
        <v>40908</v>
      </c>
      <c r="G382" s="118">
        <v>69.34</v>
      </c>
    </row>
    <row r="383" spans="1:7">
      <c r="A383" s="109">
        <v>45450</v>
      </c>
      <c r="B383" s="111">
        <v>0.66720000000000002</v>
      </c>
      <c r="F383" s="116">
        <v>40999</v>
      </c>
      <c r="G383" s="118">
        <v>69.38</v>
      </c>
    </row>
    <row r="384" spans="1:7">
      <c r="A384" s="109">
        <v>45454</v>
      </c>
      <c r="B384" s="111">
        <v>0.66020000000000001</v>
      </c>
      <c r="F384" s="116">
        <v>41090</v>
      </c>
      <c r="G384" s="118">
        <v>69.739999999999995</v>
      </c>
    </row>
    <row r="385" spans="1:7">
      <c r="A385" s="109">
        <v>45455</v>
      </c>
      <c r="B385" s="111">
        <v>0.66210000000000002</v>
      </c>
      <c r="F385" s="116">
        <v>41182</v>
      </c>
      <c r="G385" s="118">
        <v>70.69</v>
      </c>
    </row>
    <row r="386" spans="1:7">
      <c r="A386" s="109">
        <v>45456</v>
      </c>
      <c r="B386" s="111">
        <v>0.66420000000000001</v>
      </c>
      <c r="F386" s="116">
        <v>41274</v>
      </c>
      <c r="G386" s="118">
        <v>70.87</v>
      </c>
    </row>
    <row r="387" spans="1:7">
      <c r="A387" s="109">
        <v>45457</v>
      </c>
      <c r="B387" s="111">
        <v>0.66259999999999997</v>
      </c>
      <c r="F387" s="116">
        <v>41364</v>
      </c>
      <c r="G387" s="118">
        <v>71.11</v>
      </c>
    </row>
    <row r="388" spans="1:7">
      <c r="A388" s="109">
        <v>45460</v>
      </c>
      <c r="B388" s="111">
        <v>0.66010000000000002</v>
      </c>
      <c r="F388" s="116">
        <v>41455</v>
      </c>
      <c r="G388" s="118">
        <v>71.38</v>
      </c>
    </row>
    <row r="389" spans="1:7">
      <c r="A389" s="109">
        <v>45461</v>
      </c>
      <c r="B389" s="111">
        <v>0.66259999999999997</v>
      </c>
      <c r="F389" s="116">
        <v>41547</v>
      </c>
      <c r="G389" s="118">
        <v>72.25</v>
      </c>
    </row>
    <row r="390" spans="1:7">
      <c r="A390" s="109">
        <v>45462</v>
      </c>
      <c r="B390" s="111">
        <v>0.66700000000000004</v>
      </c>
      <c r="F390" s="116">
        <v>41639</v>
      </c>
      <c r="G390" s="118">
        <v>72.77</v>
      </c>
    </row>
    <row r="391" spans="1:7">
      <c r="A391" s="109">
        <v>45463</v>
      </c>
      <c r="B391" s="111">
        <v>0.66690000000000005</v>
      </c>
      <c r="F391" s="116">
        <v>41729</v>
      </c>
      <c r="G391" s="118">
        <v>73.2</v>
      </c>
    </row>
    <row r="392" spans="1:7">
      <c r="A392" s="109">
        <v>45464</v>
      </c>
      <c r="B392" s="111">
        <v>0.66649999999999998</v>
      </c>
      <c r="F392" s="116">
        <v>41820</v>
      </c>
      <c r="G392" s="118">
        <v>73.569999999999993</v>
      </c>
    </row>
    <row r="393" spans="1:7">
      <c r="A393" s="109">
        <v>45467</v>
      </c>
      <c r="B393" s="111">
        <v>0.66410000000000002</v>
      </c>
      <c r="F393" s="116">
        <v>41912</v>
      </c>
      <c r="G393" s="118">
        <v>73.88</v>
      </c>
    </row>
    <row r="394" spans="1:7">
      <c r="A394" s="109">
        <v>45468</v>
      </c>
      <c r="B394" s="111">
        <v>0.66639999999999999</v>
      </c>
      <c r="F394" s="116">
        <v>42004</v>
      </c>
      <c r="G394" s="118">
        <v>74.02</v>
      </c>
    </row>
    <row r="395" spans="1:7">
      <c r="A395" s="109">
        <v>45469</v>
      </c>
      <c r="B395" s="111">
        <v>0.66859999999999997</v>
      </c>
      <c r="F395" s="116">
        <v>42094</v>
      </c>
      <c r="G395" s="118">
        <v>74.16</v>
      </c>
    </row>
    <row r="396" spans="1:7">
      <c r="A396" s="109">
        <v>45470</v>
      </c>
      <c r="B396" s="111">
        <v>0.66659999999999997</v>
      </c>
      <c r="F396" s="116">
        <v>42185</v>
      </c>
      <c r="G396" s="118">
        <v>74.69</v>
      </c>
    </row>
    <row r="397" spans="1:7">
      <c r="A397" s="109">
        <v>45471</v>
      </c>
      <c r="B397" s="111">
        <v>0.66239999999999999</v>
      </c>
      <c r="F397" s="116">
        <v>42277</v>
      </c>
      <c r="G397" s="118">
        <v>74.98</v>
      </c>
    </row>
    <row r="398" spans="1:7">
      <c r="A398" s="109">
        <v>45474</v>
      </c>
      <c r="B398" s="111">
        <v>0.66679999999999995</v>
      </c>
      <c r="F398" s="116">
        <v>42369</v>
      </c>
      <c r="G398" s="118">
        <v>75.27</v>
      </c>
    </row>
    <row r="399" spans="1:7">
      <c r="A399" s="109">
        <v>45475</v>
      </c>
      <c r="B399" s="111">
        <v>0.66459999999999997</v>
      </c>
      <c r="F399" s="116">
        <v>42460</v>
      </c>
      <c r="G399" s="118">
        <v>75.12</v>
      </c>
    </row>
    <row r="400" spans="1:7">
      <c r="A400" s="109">
        <v>45476</v>
      </c>
      <c r="B400" s="111">
        <v>0.6673</v>
      </c>
      <c r="F400" s="116">
        <v>42551</v>
      </c>
      <c r="G400" s="118">
        <v>75.45</v>
      </c>
    </row>
    <row r="401" spans="1:7">
      <c r="A401" s="109">
        <v>45477</v>
      </c>
      <c r="B401" s="111">
        <v>0.67169999999999996</v>
      </c>
      <c r="F401" s="116">
        <v>42643</v>
      </c>
      <c r="G401" s="118">
        <v>75.98</v>
      </c>
    </row>
    <row r="402" spans="1:7">
      <c r="A402" s="109">
        <v>45478</v>
      </c>
      <c r="B402" s="111">
        <v>0.6734</v>
      </c>
      <c r="F402" s="116">
        <v>42735</v>
      </c>
      <c r="G402" s="118">
        <v>76.38</v>
      </c>
    </row>
    <row r="403" spans="1:7">
      <c r="A403" s="109">
        <v>45481</v>
      </c>
      <c r="B403" s="111">
        <v>0.6744</v>
      </c>
      <c r="F403" s="116">
        <v>42825</v>
      </c>
      <c r="G403" s="118">
        <v>76.73</v>
      </c>
    </row>
    <row r="404" spans="1:7">
      <c r="A404" s="109">
        <v>45482</v>
      </c>
      <c r="B404" s="111">
        <v>0.6744</v>
      </c>
      <c r="F404" s="116">
        <v>42916</v>
      </c>
      <c r="G404" s="118">
        <v>76.88</v>
      </c>
    </row>
    <row r="405" spans="1:7">
      <c r="A405" s="109">
        <v>45483</v>
      </c>
      <c r="B405" s="111">
        <v>0.6744</v>
      </c>
      <c r="F405" s="116">
        <v>43008</v>
      </c>
      <c r="G405" s="118">
        <v>77.349999999999994</v>
      </c>
    </row>
    <row r="406" spans="1:7">
      <c r="A406" s="109">
        <v>45484</v>
      </c>
      <c r="B406" s="111">
        <v>0.67610000000000003</v>
      </c>
      <c r="F406" s="116">
        <v>43100</v>
      </c>
      <c r="G406" s="118">
        <v>77.87</v>
      </c>
    </row>
    <row r="407" spans="1:7">
      <c r="A407" s="109">
        <v>45485</v>
      </c>
      <c r="B407" s="111">
        <v>0.67720000000000002</v>
      </c>
      <c r="F407" s="116">
        <v>43190</v>
      </c>
      <c r="G407" s="118">
        <v>78.209999999999994</v>
      </c>
    </row>
    <row r="408" spans="1:7">
      <c r="A408" s="109">
        <v>45488</v>
      </c>
      <c r="B408" s="111">
        <v>0.67749999999999999</v>
      </c>
      <c r="F408" s="116">
        <v>43281</v>
      </c>
      <c r="G408" s="118">
        <v>78.489999999999995</v>
      </c>
    </row>
    <row r="409" spans="1:7">
      <c r="A409" s="109">
        <v>45489</v>
      </c>
      <c r="B409" s="111">
        <v>0.67379999999999995</v>
      </c>
      <c r="F409" s="116">
        <v>43373</v>
      </c>
      <c r="G409" s="118">
        <v>78.83</v>
      </c>
    </row>
    <row r="410" spans="1:7">
      <c r="A410" s="109">
        <v>45490</v>
      </c>
      <c r="B410" s="111">
        <v>0.67359999999999998</v>
      </c>
      <c r="F410" s="116">
        <v>43465</v>
      </c>
      <c r="G410" s="118">
        <v>79.239999999999995</v>
      </c>
    </row>
    <row r="411" spans="1:7">
      <c r="A411" s="109">
        <v>45491</v>
      </c>
      <c r="B411" s="111">
        <v>0.67390000000000005</v>
      </c>
      <c r="F411" s="116">
        <v>43555</v>
      </c>
      <c r="G411" s="118">
        <v>79.23</v>
      </c>
    </row>
    <row r="412" spans="1:7">
      <c r="A412" s="109">
        <v>45492</v>
      </c>
      <c r="B412" s="111">
        <v>0.67010000000000003</v>
      </c>
      <c r="F412" s="116">
        <v>43646</v>
      </c>
      <c r="G412" s="118">
        <v>79.7</v>
      </c>
    </row>
    <row r="413" spans="1:7">
      <c r="A413" s="109">
        <v>45495</v>
      </c>
      <c r="B413" s="111">
        <v>0.6663</v>
      </c>
      <c r="F413" s="116">
        <v>43738</v>
      </c>
      <c r="G413" s="118">
        <v>80.150000000000006</v>
      </c>
    </row>
    <row r="414" spans="1:7">
      <c r="A414" s="109">
        <v>45496</v>
      </c>
      <c r="B414" s="111">
        <v>0.6633</v>
      </c>
      <c r="F414" s="116">
        <v>43830</v>
      </c>
      <c r="G414" s="118">
        <v>80.7</v>
      </c>
    </row>
    <row r="415" spans="1:7">
      <c r="A415" s="109">
        <v>45497</v>
      </c>
      <c r="B415" s="111">
        <v>0.65949999999999998</v>
      </c>
      <c r="F415" s="116">
        <v>43921</v>
      </c>
      <c r="G415" s="118">
        <v>81</v>
      </c>
    </row>
    <row r="416" spans="1:7">
      <c r="A416" s="109">
        <v>45498</v>
      </c>
      <c r="B416" s="111">
        <v>0.65459999999999996</v>
      </c>
      <c r="F416" s="116">
        <v>44012</v>
      </c>
      <c r="G416" s="118">
        <v>79.44</v>
      </c>
    </row>
    <row r="417" spans="1:7">
      <c r="A417" s="109">
        <v>45499</v>
      </c>
      <c r="B417" s="111">
        <v>0.65549999999999997</v>
      </c>
      <c r="F417" s="116">
        <v>44104</v>
      </c>
      <c r="G417" s="118">
        <v>80.67</v>
      </c>
    </row>
    <row r="418" spans="1:7">
      <c r="A418" s="109">
        <v>45502</v>
      </c>
      <c r="B418" s="111">
        <v>0.6552</v>
      </c>
      <c r="F418" s="116">
        <v>44196</v>
      </c>
      <c r="G418" s="118">
        <v>81.400000000000006</v>
      </c>
    </row>
    <row r="419" spans="1:7">
      <c r="A419" s="109">
        <v>45503</v>
      </c>
      <c r="B419" s="111">
        <v>0.65559999999999996</v>
      </c>
      <c r="F419" s="116">
        <v>44286</v>
      </c>
      <c r="G419" s="118">
        <v>81.87</v>
      </c>
    </row>
    <row r="420" spans="1:7">
      <c r="A420" s="109">
        <v>45504</v>
      </c>
      <c r="B420" s="111">
        <v>0.64910000000000001</v>
      </c>
      <c r="F420" s="116">
        <v>44377</v>
      </c>
      <c r="G420" s="118">
        <v>82.47</v>
      </c>
    </row>
    <row r="421" spans="1:7">
      <c r="A421" s="109">
        <v>45505</v>
      </c>
      <c r="B421" s="111">
        <v>0.65339999999999998</v>
      </c>
      <c r="F421" s="116">
        <v>44469</v>
      </c>
      <c r="G421" s="118">
        <v>83.17</v>
      </c>
    </row>
    <row r="422" spans="1:7">
      <c r="A422" s="109">
        <v>45506</v>
      </c>
      <c r="B422" s="111">
        <v>0.65149999999999997</v>
      </c>
      <c r="F422" s="116">
        <v>44561</v>
      </c>
      <c r="G422" s="118">
        <v>84.23</v>
      </c>
    </row>
    <row r="423" spans="1:7">
      <c r="A423" s="109">
        <v>45510</v>
      </c>
      <c r="B423" s="111">
        <v>0.65110000000000001</v>
      </c>
      <c r="F423" s="116">
        <v>44651</v>
      </c>
      <c r="G423" s="118">
        <v>86.05</v>
      </c>
    </row>
    <row r="424" spans="1:7">
      <c r="A424" s="109">
        <v>45511</v>
      </c>
      <c r="B424" s="111">
        <v>0.65510000000000002</v>
      </c>
      <c r="F424" s="116">
        <v>44742</v>
      </c>
      <c r="G424" s="118">
        <v>87.59</v>
      </c>
    </row>
    <row r="425" spans="1:7">
      <c r="A425" s="109">
        <v>45512</v>
      </c>
      <c r="B425" s="111">
        <v>0.6552</v>
      </c>
      <c r="F425" s="116">
        <v>44834</v>
      </c>
      <c r="G425" s="118">
        <v>89.2</v>
      </c>
    </row>
    <row r="426" spans="1:7">
      <c r="A426" s="109">
        <v>45513</v>
      </c>
      <c r="B426" s="111">
        <v>0.65920000000000001</v>
      </c>
      <c r="F426" s="116">
        <v>44926</v>
      </c>
      <c r="G426" s="118">
        <v>90.85</v>
      </c>
    </row>
    <row r="427" spans="1:7">
      <c r="A427" s="109">
        <v>45516</v>
      </c>
      <c r="B427" s="111">
        <v>0.65820000000000001</v>
      </c>
      <c r="F427" s="116">
        <v>45016</v>
      </c>
      <c r="G427" s="118">
        <v>92.08</v>
      </c>
    </row>
    <row r="428" spans="1:7">
      <c r="A428" s="109">
        <v>45517</v>
      </c>
      <c r="B428" s="111">
        <v>0.65939999999999999</v>
      </c>
      <c r="F428" s="116">
        <v>45107</v>
      </c>
      <c r="G428" s="118">
        <v>92.87</v>
      </c>
    </row>
    <row r="429" spans="1:7">
      <c r="A429" s="109">
        <v>45518</v>
      </c>
      <c r="B429" s="111">
        <v>0.66339999999999999</v>
      </c>
      <c r="F429" s="116">
        <v>45199</v>
      </c>
      <c r="G429" s="118">
        <v>93.94</v>
      </c>
    </row>
    <row r="430" spans="1:7">
      <c r="A430" s="109">
        <v>45519</v>
      </c>
      <c r="B430" s="111">
        <v>0.66200000000000003</v>
      </c>
      <c r="F430" s="116">
        <v>45291</v>
      </c>
      <c r="G430" s="118">
        <v>94.53</v>
      </c>
    </row>
    <row r="431" spans="1:7">
      <c r="A431" s="109">
        <v>45520</v>
      </c>
      <c r="B431" s="111">
        <v>0.66300000000000003</v>
      </c>
      <c r="F431" s="116">
        <v>45382</v>
      </c>
      <c r="G431" s="118">
        <v>95.41</v>
      </c>
    </row>
    <row r="432" spans="1:7">
      <c r="A432" s="109">
        <v>45523</v>
      </c>
      <c r="B432" s="111">
        <v>0.66839999999999999</v>
      </c>
      <c r="F432" s="116">
        <v>45473</v>
      </c>
      <c r="G432" s="118">
        <v>96.41</v>
      </c>
    </row>
    <row r="433" spans="1:7">
      <c r="A433" s="109">
        <v>45524</v>
      </c>
      <c r="B433" s="111">
        <v>0.67190000000000005</v>
      </c>
      <c r="F433" s="116">
        <v>45565</v>
      </c>
      <c r="G433" s="118">
        <v>96.62</v>
      </c>
    </row>
    <row r="434" spans="1:7">
      <c r="A434" s="109">
        <v>45525</v>
      </c>
      <c r="B434" s="111">
        <v>0.67420000000000002</v>
      </c>
      <c r="F434" s="116">
        <v>45657</v>
      </c>
      <c r="G434" s="118">
        <v>96.81</v>
      </c>
    </row>
    <row r="435" spans="1:7">
      <c r="A435" s="109">
        <v>45526</v>
      </c>
      <c r="B435" s="111">
        <v>0.67400000000000004</v>
      </c>
      <c r="F435" s="116">
        <v>45747</v>
      </c>
      <c r="G435" s="118">
        <v>97.7</v>
      </c>
    </row>
    <row r="436" spans="1:7">
      <c r="A436" s="109">
        <v>45527</v>
      </c>
      <c r="B436" s="111">
        <v>0.67200000000000004</v>
      </c>
      <c r="F436" s="116">
        <v>45838</v>
      </c>
      <c r="G436" s="118">
        <v>98.43</v>
      </c>
    </row>
    <row r="437" spans="1:7">
      <c r="A437" s="109">
        <v>45530</v>
      </c>
      <c r="B437" s="111">
        <v>0.67759999999999998</v>
      </c>
      <c r="F437" s="116">
        <v>45930</v>
      </c>
      <c r="G437" s="118">
        <v>99.73</v>
      </c>
    </row>
    <row r="438" spans="1:7">
      <c r="A438" s="109">
        <v>45531</v>
      </c>
      <c r="B438" s="111">
        <v>0.67869999999999997</v>
      </c>
      <c r="F438" s="116">
        <v>46022</v>
      </c>
      <c r="G438" s="118">
        <v>100.32</v>
      </c>
    </row>
    <row r="439" spans="1:7">
      <c r="A439" s="109">
        <v>45532</v>
      </c>
      <c r="B439" s="111">
        <v>0.67889999999999995</v>
      </c>
      <c r="F439" s="116">
        <v>46112</v>
      </c>
      <c r="G439" s="118">
        <v>101.7</v>
      </c>
    </row>
    <row r="440" spans="1:7">
      <c r="A440" s="109">
        <v>45533</v>
      </c>
      <c r="B440" s="111">
        <v>0.68069999999999997</v>
      </c>
      <c r="F440" s="116"/>
      <c r="G440" s="118"/>
    </row>
    <row r="441" spans="1:7">
      <c r="A441" s="109">
        <v>45534</v>
      </c>
      <c r="B441" s="111">
        <v>0.68059999999999998</v>
      </c>
      <c r="F441" s="116"/>
      <c r="G441" s="118"/>
    </row>
    <row r="442" spans="1:7">
      <c r="A442" s="109">
        <v>45537</v>
      </c>
      <c r="B442" s="111">
        <v>0.67659999999999998</v>
      </c>
      <c r="F442" s="116"/>
      <c r="G442" s="118"/>
    </row>
    <row r="443" spans="1:7">
      <c r="A443" s="109">
        <v>45538</v>
      </c>
      <c r="B443" s="111">
        <v>0.67410000000000003</v>
      </c>
      <c r="F443" s="116"/>
      <c r="G443" s="118"/>
    </row>
    <row r="444" spans="1:7">
      <c r="A444" s="109">
        <v>45539</v>
      </c>
      <c r="B444" s="111">
        <v>0.6704</v>
      </c>
      <c r="F444" s="116"/>
      <c r="G444" s="118"/>
    </row>
    <row r="445" spans="1:7">
      <c r="A445" s="109">
        <v>45540</v>
      </c>
      <c r="B445" s="111">
        <v>0.67230000000000001</v>
      </c>
    </row>
    <row r="446" spans="1:7">
      <c r="A446" s="109">
        <v>45541</v>
      </c>
      <c r="B446" s="111">
        <v>0.6724</v>
      </c>
    </row>
    <row r="447" spans="1:7">
      <c r="A447" s="109">
        <v>45544</v>
      </c>
      <c r="B447" s="111">
        <v>0.66679999999999995</v>
      </c>
    </row>
    <row r="448" spans="1:7">
      <c r="A448" s="109">
        <v>45545</v>
      </c>
      <c r="B448" s="111">
        <v>0.66679999999999995</v>
      </c>
    </row>
    <row r="449" spans="1:2">
      <c r="A449" s="109">
        <v>45546</v>
      </c>
      <c r="B449" s="111">
        <v>0.66590000000000005</v>
      </c>
    </row>
    <row r="450" spans="1:2">
      <c r="A450" s="109">
        <v>45547</v>
      </c>
      <c r="B450" s="111">
        <v>0.66930000000000001</v>
      </c>
    </row>
    <row r="451" spans="1:2">
      <c r="A451" s="109">
        <v>45548</v>
      </c>
      <c r="B451" s="111">
        <v>0.67220000000000002</v>
      </c>
    </row>
    <row r="452" spans="1:2">
      <c r="A452" s="109">
        <v>45551</v>
      </c>
      <c r="B452" s="111">
        <v>0.67269999999999996</v>
      </c>
    </row>
    <row r="453" spans="1:2">
      <c r="A453" s="109">
        <v>45552</v>
      </c>
      <c r="B453" s="111">
        <v>0.67479999999999996</v>
      </c>
    </row>
    <row r="454" spans="1:2">
      <c r="A454" s="109">
        <v>45553</v>
      </c>
      <c r="B454" s="111">
        <v>0.67610000000000003</v>
      </c>
    </row>
    <row r="455" spans="1:2">
      <c r="A455" s="109">
        <v>45554</v>
      </c>
      <c r="B455" s="111">
        <v>0.68010000000000004</v>
      </c>
    </row>
    <row r="456" spans="1:2">
      <c r="A456" s="109">
        <v>45555</v>
      </c>
      <c r="B456" s="111">
        <v>0.68179999999999996</v>
      </c>
    </row>
    <row r="457" spans="1:2">
      <c r="A457" s="109">
        <v>45558</v>
      </c>
      <c r="B457" s="111">
        <v>0.68279999999999996</v>
      </c>
    </row>
    <row r="458" spans="1:2">
      <c r="A458" s="109">
        <v>45559</v>
      </c>
      <c r="B458" s="111">
        <v>0.68389999999999995</v>
      </c>
    </row>
    <row r="459" spans="1:2">
      <c r="A459" s="109">
        <v>45560</v>
      </c>
      <c r="B459" s="111">
        <v>0.68799999999999994</v>
      </c>
    </row>
    <row r="460" spans="1:2">
      <c r="A460" s="109">
        <v>45561</v>
      </c>
      <c r="B460" s="111">
        <v>0.68630000000000002</v>
      </c>
    </row>
    <row r="461" spans="1:2">
      <c r="A461" s="109">
        <v>45562</v>
      </c>
      <c r="B461" s="111">
        <v>0.68779999999999997</v>
      </c>
    </row>
    <row r="462" spans="1:2">
      <c r="A462" s="109">
        <v>45565</v>
      </c>
      <c r="B462" s="111">
        <v>0.69320000000000004</v>
      </c>
    </row>
    <row r="463" spans="1:2">
      <c r="A463" s="109">
        <v>45566</v>
      </c>
      <c r="B463" s="111">
        <v>0.69279999999999997</v>
      </c>
    </row>
    <row r="464" spans="1:2">
      <c r="A464" s="109">
        <v>45567</v>
      </c>
      <c r="B464" s="111">
        <v>0.68799999999999994</v>
      </c>
    </row>
    <row r="465" spans="1:2">
      <c r="A465" s="109">
        <v>45568</v>
      </c>
      <c r="B465" s="111">
        <v>0.6865</v>
      </c>
    </row>
    <row r="466" spans="1:2">
      <c r="A466" s="109">
        <v>45569</v>
      </c>
      <c r="B466" s="111">
        <v>0.68479999999999996</v>
      </c>
    </row>
    <row r="467" spans="1:2">
      <c r="A467" s="109">
        <v>45573</v>
      </c>
      <c r="B467" s="111">
        <v>0.67390000000000005</v>
      </c>
    </row>
    <row r="468" spans="1:2">
      <c r="A468" s="109">
        <v>45574</v>
      </c>
      <c r="B468" s="111">
        <v>0.67459999999999998</v>
      </c>
    </row>
    <row r="469" spans="1:2">
      <c r="A469" s="109">
        <v>45575</v>
      </c>
      <c r="B469" s="111">
        <v>0.67390000000000005</v>
      </c>
    </row>
    <row r="470" spans="1:2">
      <c r="A470" s="109">
        <v>45576</v>
      </c>
      <c r="B470" s="111">
        <v>0.6744</v>
      </c>
    </row>
    <row r="471" spans="1:2">
      <c r="A471" s="109">
        <v>45579</v>
      </c>
      <c r="B471" s="111">
        <v>0.67379999999999995</v>
      </c>
    </row>
    <row r="472" spans="1:2">
      <c r="A472" s="109">
        <v>45580</v>
      </c>
      <c r="B472" s="111">
        <v>0.67110000000000003</v>
      </c>
    </row>
    <row r="473" spans="1:2">
      <c r="A473" s="109">
        <v>45581</v>
      </c>
      <c r="B473" s="111">
        <v>0.66910000000000003</v>
      </c>
    </row>
    <row r="474" spans="1:2">
      <c r="A474" s="109">
        <v>45582</v>
      </c>
      <c r="B474" s="111">
        <v>0.66910000000000003</v>
      </c>
    </row>
    <row r="475" spans="1:2">
      <c r="A475" s="109">
        <v>45583</v>
      </c>
      <c r="B475" s="111">
        <v>0.67020000000000002</v>
      </c>
    </row>
    <row r="476" spans="1:2">
      <c r="A476" s="109">
        <v>45586</v>
      </c>
      <c r="B476" s="111">
        <v>0.67049999999999998</v>
      </c>
    </row>
    <row r="477" spans="1:2">
      <c r="A477" s="109">
        <v>45587</v>
      </c>
      <c r="B477" s="111">
        <v>0.66869999999999996</v>
      </c>
    </row>
    <row r="478" spans="1:2">
      <c r="A478" s="109">
        <v>45588</v>
      </c>
      <c r="B478" s="111">
        <v>0.66769999999999996</v>
      </c>
    </row>
    <row r="479" spans="1:2">
      <c r="A479" s="109">
        <v>45589</v>
      </c>
      <c r="B479" s="111">
        <v>0.66479999999999995</v>
      </c>
    </row>
    <row r="480" spans="1:2">
      <c r="A480" s="109">
        <v>45590</v>
      </c>
      <c r="B480" s="111">
        <v>0.66210000000000002</v>
      </c>
    </row>
    <row r="481" spans="1:2">
      <c r="A481" s="109">
        <v>45593</v>
      </c>
      <c r="B481" s="111">
        <v>0.65910000000000002</v>
      </c>
    </row>
    <row r="482" spans="1:2">
      <c r="A482" s="109">
        <v>45594</v>
      </c>
      <c r="B482" s="111">
        <v>0.65649999999999997</v>
      </c>
    </row>
    <row r="483" spans="1:2">
      <c r="A483" s="109">
        <v>45595</v>
      </c>
      <c r="B483" s="111">
        <v>0.65429999999999999</v>
      </c>
    </row>
    <row r="484" spans="1:2">
      <c r="A484" s="109">
        <v>45596</v>
      </c>
      <c r="B484" s="111">
        <v>0.65690000000000004</v>
      </c>
    </row>
    <row r="485" spans="1:2">
      <c r="A485" s="109">
        <v>45597</v>
      </c>
      <c r="B485" s="111">
        <v>0.65759999999999996</v>
      </c>
    </row>
    <row r="486" spans="1:2">
      <c r="A486" s="109">
        <v>45600</v>
      </c>
      <c r="B486" s="111">
        <v>0.66090000000000004</v>
      </c>
    </row>
    <row r="487" spans="1:2">
      <c r="A487" s="109">
        <v>45601</v>
      </c>
      <c r="B487" s="111">
        <v>0.65939999999999999</v>
      </c>
    </row>
    <row r="488" spans="1:2">
      <c r="A488" s="109">
        <v>45602</v>
      </c>
      <c r="B488" s="111">
        <v>0.65429999999999999</v>
      </c>
    </row>
    <row r="489" spans="1:2">
      <c r="A489" s="109">
        <v>45603</v>
      </c>
      <c r="B489" s="111">
        <v>0.66220000000000001</v>
      </c>
    </row>
    <row r="490" spans="1:2">
      <c r="A490" s="109">
        <v>45604</v>
      </c>
      <c r="B490" s="111">
        <v>0.66539999999999999</v>
      </c>
    </row>
    <row r="491" spans="1:2">
      <c r="A491" s="109">
        <v>45607</v>
      </c>
      <c r="B491" s="111">
        <v>0.65939999999999999</v>
      </c>
    </row>
    <row r="492" spans="1:2">
      <c r="A492" s="109">
        <v>45608</v>
      </c>
      <c r="B492" s="111">
        <v>0.65549999999999997</v>
      </c>
    </row>
    <row r="493" spans="1:2">
      <c r="A493" s="109">
        <v>45609</v>
      </c>
      <c r="B493" s="111">
        <v>0.65369999999999995</v>
      </c>
    </row>
    <row r="494" spans="1:2">
      <c r="A494" s="109">
        <v>45610</v>
      </c>
      <c r="B494" s="111">
        <v>0.64710000000000001</v>
      </c>
    </row>
    <row r="495" spans="1:2">
      <c r="A495" s="109">
        <v>45611</v>
      </c>
      <c r="B495" s="111">
        <v>0.64659999999999995</v>
      </c>
    </row>
    <row r="496" spans="1:2">
      <c r="A496" s="109">
        <v>45614</v>
      </c>
      <c r="B496" s="111">
        <v>0.6472</v>
      </c>
    </row>
    <row r="497" spans="1:2">
      <c r="A497" s="109">
        <v>45615</v>
      </c>
      <c r="B497" s="111">
        <v>0.65080000000000005</v>
      </c>
    </row>
    <row r="498" spans="1:2">
      <c r="A498" s="109">
        <v>45616</v>
      </c>
      <c r="B498" s="111">
        <v>0.65280000000000005</v>
      </c>
    </row>
    <row r="499" spans="1:2">
      <c r="A499" s="109">
        <v>45617</v>
      </c>
      <c r="B499" s="111">
        <v>0.65169999999999995</v>
      </c>
    </row>
    <row r="500" spans="1:2">
      <c r="A500" s="109">
        <v>45618</v>
      </c>
      <c r="B500" s="111">
        <v>0.65039999999999998</v>
      </c>
    </row>
    <row r="501" spans="1:2">
      <c r="A501" s="109">
        <v>45621</v>
      </c>
      <c r="B501" s="111">
        <v>0.65249999999999997</v>
      </c>
    </row>
    <row r="502" spans="1:2">
      <c r="A502" s="109">
        <v>45622</v>
      </c>
      <c r="B502" s="111">
        <v>0.64929999999999999</v>
      </c>
    </row>
    <row r="503" spans="1:2">
      <c r="A503" s="109">
        <v>45623</v>
      </c>
      <c r="B503" s="111">
        <v>0.64759999999999995</v>
      </c>
    </row>
    <row r="504" spans="1:2">
      <c r="A504" s="109">
        <v>45624</v>
      </c>
      <c r="B504" s="111">
        <v>0.6492</v>
      </c>
    </row>
    <row r="505" spans="1:2">
      <c r="A505" s="109">
        <v>45625</v>
      </c>
      <c r="B505" s="111">
        <v>0.65169999999999995</v>
      </c>
    </row>
    <row r="506" spans="1:2">
      <c r="A506" s="109">
        <v>45628</v>
      </c>
      <c r="B506" s="111">
        <v>0.64959999999999996</v>
      </c>
    </row>
    <row r="507" spans="1:2">
      <c r="A507" s="109">
        <v>45629</v>
      </c>
      <c r="B507" s="111">
        <v>0.64690000000000003</v>
      </c>
    </row>
    <row r="508" spans="1:2">
      <c r="A508" s="109">
        <v>45630</v>
      </c>
      <c r="B508" s="111">
        <v>0.64380000000000004</v>
      </c>
    </row>
    <row r="509" spans="1:2">
      <c r="A509" s="109">
        <v>45631</v>
      </c>
      <c r="B509" s="111">
        <v>0.64329999999999998</v>
      </c>
    </row>
    <row r="510" spans="1:2">
      <c r="A510" s="109">
        <v>45632</v>
      </c>
      <c r="B510" s="111">
        <v>0.64300000000000002</v>
      </c>
    </row>
    <row r="511" spans="1:2">
      <c r="A511" s="109">
        <v>45635</v>
      </c>
      <c r="B511" s="111">
        <v>0.63819999999999999</v>
      </c>
    </row>
    <row r="512" spans="1:2">
      <c r="A512" s="109">
        <v>45636</v>
      </c>
      <c r="B512" s="111">
        <v>0.63849999999999996</v>
      </c>
    </row>
    <row r="513" spans="1:2">
      <c r="A513" s="109">
        <v>45637</v>
      </c>
      <c r="B513" s="111">
        <v>0.63739999999999997</v>
      </c>
    </row>
    <row r="514" spans="1:2">
      <c r="A514" s="109">
        <v>45638</v>
      </c>
      <c r="B514" s="111">
        <v>0.64170000000000005</v>
      </c>
    </row>
    <row r="515" spans="1:2">
      <c r="A515" s="109">
        <v>45639</v>
      </c>
      <c r="B515" s="111">
        <v>0.63670000000000004</v>
      </c>
    </row>
    <row r="516" spans="1:2">
      <c r="A516" s="109">
        <v>45642</v>
      </c>
      <c r="B516" s="111">
        <v>0.63770000000000004</v>
      </c>
    </row>
    <row r="517" spans="1:2">
      <c r="A517" s="109">
        <v>45643</v>
      </c>
      <c r="B517" s="111">
        <v>0.63560000000000005</v>
      </c>
    </row>
    <row r="518" spans="1:2">
      <c r="A518" s="109">
        <v>45644</v>
      </c>
      <c r="B518" s="111">
        <v>0.63129999999999997</v>
      </c>
    </row>
    <row r="519" spans="1:2">
      <c r="A519" s="109">
        <v>45645</v>
      </c>
      <c r="B519" s="111">
        <v>0.62260000000000004</v>
      </c>
    </row>
    <row r="520" spans="1:2">
      <c r="A520" s="109">
        <v>45646</v>
      </c>
      <c r="B520" s="111">
        <v>0.62260000000000004</v>
      </c>
    </row>
    <row r="521" spans="1:2">
      <c r="A521" s="109">
        <v>45649</v>
      </c>
      <c r="B521" s="111">
        <v>0.62590000000000001</v>
      </c>
    </row>
    <row r="522" spans="1:2">
      <c r="A522" s="109">
        <v>45650</v>
      </c>
      <c r="B522" s="111">
        <v>0.624</v>
      </c>
    </row>
    <row r="523" spans="1:2">
      <c r="A523" s="109">
        <v>45653</v>
      </c>
      <c r="B523" s="111">
        <v>0.62109999999999999</v>
      </c>
    </row>
    <row r="524" spans="1:2">
      <c r="A524" s="109">
        <v>45656</v>
      </c>
      <c r="B524" s="111">
        <v>0.62409999999999999</v>
      </c>
    </row>
    <row r="525" spans="1:2">
      <c r="A525" s="109">
        <v>45657</v>
      </c>
      <c r="B525" s="111">
        <v>0.62170000000000003</v>
      </c>
    </row>
    <row r="526" spans="1:2">
      <c r="A526" s="109">
        <v>45659</v>
      </c>
      <c r="B526" s="111">
        <v>0.62170000000000003</v>
      </c>
    </row>
    <row r="527" spans="1:2">
      <c r="A527" s="109">
        <v>45660</v>
      </c>
      <c r="B527" s="111">
        <v>0.62160000000000004</v>
      </c>
    </row>
    <row r="528" spans="1:2">
      <c r="A528" s="109">
        <v>45663</v>
      </c>
      <c r="B528" s="111">
        <v>0.62229999999999996</v>
      </c>
    </row>
    <row r="529" spans="1:2">
      <c r="A529" s="109">
        <v>45664</v>
      </c>
      <c r="B529" s="111">
        <v>0.62590000000000001</v>
      </c>
    </row>
    <row r="530" spans="1:2">
      <c r="A530" s="109">
        <v>45665</v>
      </c>
      <c r="B530" s="111">
        <v>0.623</v>
      </c>
    </row>
    <row r="531" spans="1:2">
      <c r="A531" s="109">
        <v>45666</v>
      </c>
      <c r="B531" s="111">
        <v>0.61990000000000001</v>
      </c>
    </row>
    <row r="532" spans="1:2">
      <c r="A532" s="109">
        <v>45667</v>
      </c>
      <c r="B532" s="111">
        <v>0.61939999999999995</v>
      </c>
    </row>
    <row r="533" spans="1:2">
      <c r="A533" s="109">
        <v>45670</v>
      </c>
      <c r="B533" s="111">
        <v>0.61329999999999996</v>
      </c>
    </row>
    <row r="534" spans="1:2">
      <c r="A534" s="109">
        <v>45671</v>
      </c>
      <c r="B534" s="111">
        <v>0.61890000000000001</v>
      </c>
    </row>
    <row r="535" spans="1:2">
      <c r="A535" s="109">
        <v>45672</v>
      </c>
      <c r="B535" s="111">
        <v>0.61950000000000005</v>
      </c>
    </row>
    <row r="536" spans="1:2">
      <c r="A536" s="109">
        <v>45673</v>
      </c>
      <c r="B536" s="111">
        <v>0.62060000000000004</v>
      </c>
    </row>
    <row r="537" spans="1:2">
      <c r="A537" s="109">
        <v>45674</v>
      </c>
      <c r="B537" s="111">
        <v>0.62</v>
      </c>
    </row>
    <row r="538" spans="1:2">
      <c r="A538" s="109">
        <v>45677</v>
      </c>
      <c r="B538" s="111">
        <v>0.62139999999999995</v>
      </c>
    </row>
    <row r="539" spans="1:2">
      <c r="A539" s="109">
        <v>45678</v>
      </c>
      <c r="B539" s="111">
        <v>0.62490000000000001</v>
      </c>
    </row>
    <row r="540" spans="1:2">
      <c r="A540" s="109">
        <v>45679</v>
      </c>
      <c r="B540" s="111">
        <v>0.62649999999999995</v>
      </c>
    </row>
    <row r="541" spans="1:2">
      <c r="A541" s="109">
        <v>45680</v>
      </c>
      <c r="B541" s="111">
        <v>0.62749999999999995</v>
      </c>
    </row>
    <row r="542" spans="1:2">
      <c r="A542" s="109">
        <v>45681</v>
      </c>
      <c r="B542" s="111">
        <v>0.63160000000000005</v>
      </c>
    </row>
    <row r="543" spans="1:2">
      <c r="A543" s="109">
        <v>45685</v>
      </c>
      <c r="B543" s="111">
        <v>0.62529999999999997</v>
      </c>
    </row>
    <row r="544" spans="1:2">
      <c r="A544" s="109">
        <v>45686</v>
      </c>
      <c r="B544" s="111">
        <v>0.62370000000000003</v>
      </c>
    </row>
    <row r="545" spans="1:2">
      <c r="A545" s="109">
        <v>45687</v>
      </c>
      <c r="B545" s="111">
        <v>0.62250000000000005</v>
      </c>
    </row>
    <row r="546" spans="1:2">
      <c r="A546" s="109">
        <v>45688</v>
      </c>
      <c r="B546" s="111">
        <v>0.62250000000000005</v>
      </c>
    </row>
    <row r="547" spans="1:2">
      <c r="A547" s="109">
        <v>45691</v>
      </c>
      <c r="B547" s="111">
        <v>0.61160000000000003</v>
      </c>
    </row>
    <row r="548" spans="1:2">
      <c r="A548" s="109">
        <v>45692</v>
      </c>
      <c r="B548" s="111">
        <v>0.61899999999999999</v>
      </c>
    </row>
    <row r="549" spans="1:2">
      <c r="A549" s="109">
        <v>45693</v>
      </c>
      <c r="B549" s="111">
        <v>0.62490000000000001</v>
      </c>
    </row>
    <row r="550" spans="1:2">
      <c r="A550" s="109">
        <v>45694</v>
      </c>
      <c r="B550" s="111">
        <v>0.62629999999999997</v>
      </c>
    </row>
    <row r="551" spans="1:2">
      <c r="A551" s="109">
        <v>45695</v>
      </c>
      <c r="B551" s="111">
        <v>0.62839999999999996</v>
      </c>
    </row>
    <row r="552" spans="1:2">
      <c r="A552" s="109">
        <v>45698</v>
      </c>
      <c r="B552" s="111">
        <v>0.62719999999999998</v>
      </c>
    </row>
    <row r="553" spans="1:2">
      <c r="A553" s="109">
        <v>45699</v>
      </c>
      <c r="B553" s="111">
        <v>0.62749999999999995</v>
      </c>
    </row>
    <row r="554" spans="1:2">
      <c r="A554" s="109">
        <v>45700</v>
      </c>
      <c r="B554" s="111">
        <v>0.629</v>
      </c>
    </row>
    <row r="555" spans="1:2">
      <c r="A555" s="109">
        <v>45701</v>
      </c>
      <c r="B555" s="111">
        <v>0.62960000000000005</v>
      </c>
    </row>
    <row r="556" spans="1:2">
      <c r="A556" s="109">
        <v>45702</v>
      </c>
      <c r="B556" s="111">
        <v>0.6321</v>
      </c>
    </row>
    <row r="557" spans="1:2">
      <c r="A557" s="109">
        <v>45705</v>
      </c>
      <c r="B557" s="111">
        <v>0.63690000000000002</v>
      </c>
    </row>
    <row r="558" spans="1:2">
      <c r="A558" s="109">
        <v>45706</v>
      </c>
      <c r="B558" s="111">
        <v>0.63529999999999998</v>
      </c>
    </row>
    <row r="559" spans="1:2">
      <c r="A559" s="109">
        <v>45707</v>
      </c>
      <c r="B559" s="111">
        <v>0.63639999999999997</v>
      </c>
    </row>
    <row r="560" spans="1:2">
      <c r="A560" s="109">
        <v>45708</v>
      </c>
      <c r="B560" s="111">
        <v>0.63629999999999998</v>
      </c>
    </row>
    <row r="561" spans="1:2">
      <c r="A561" s="109">
        <v>45709</v>
      </c>
      <c r="B561" s="111">
        <v>0.63970000000000005</v>
      </c>
    </row>
    <row r="562" spans="1:2">
      <c r="A562" s="109">
        <v>45712</v>
      </c>
      <c r="B562" s="111">
        <v>0.6381</v>
      </c>
    </row>
    <row r="563" spans="1:2">
      <c r="A563" s="109">
        <v>45713</v>
      </c>
      <c r="B563" s="111">
        <v>0.6351</v>
      </c>
    </row>
    <row r="564" spans="1:2">
      <c r="A564" s="109">
        <v>45714</v>
      </c>
      <c r="B564" s="111">
        <v>0.63280000000000003</v>
      </c>
    </row>
    <row r="565" spans="1:2">
      <c r="A565" s="109">
        <v>45715</v>
      </c>
      <c r="B565" s="111">
        <v>0.62880000000000003</v>
      </c>
    </row>
    <row r="566" spans="1:2">
      <c r="A566" s="109">
        <v>45716</v>
      </c>
      <c r="B566" s="111">
        <v>0.62139999999999995</v>
      </c>
    </row>
    <row r="567" spans="1:2">
      <c r="A567" s="109">
        <v>45719</v>
      </c>
      <c r="B567" s="111">
        <v>0.622</v>
      </c>
    </row>
    <row r="568" spans="1:2">
      <c r="A568" s="109">
        <v>45720</v>
      </c>
      <c r="B568" s="111">
        <v>0.61909999999999998</v>
      </c>
    </row>
    <row r="569" spans="1:2">
      <c r="A569" s="109">
        <v>45721</v>
      </c>
      <c r="B569" s="111">
        <v>0.625</v>
      </c>
    </row>
    <row r="570" spans="1:2">
      <c r="A570" s="109">
        <v>45722</v>
      </c>
      <c r="B570" s="111">
        <v>0.63470000000000004</v>
      </c>
    </row>
    <row r="571" spans="1:2">
      <c r="A571" s="109">
        <v>45723</v>
      </c>
      <c r="B571" s="111">
        <v>0.63060000000000005</v>
      </c>
    </row>
    <row r="572" spans="1:2">
      <c r="A572" s="109">
        <v>45726</v>
      </c>
      <c r="B572" s="111">
        <v>0.63070000000000004</v>
      </c>
    </row>
    <row r="573" spans="1:2">
      <c r="A573" s="109">
        <v>45727</v>
      </c>
      <c r="B573" s="111">
        <v>0.62770000000000004</v>
      </c>
    </row>
    <row r="574" spans="1:2">
      <c r="A574" s="109">
        <v>45728</v>
      </c>
      <c r="B574" s="111">
        <v>0.62890000000000001</v>
      </c>
    </row>
    <row r="575" spans="1:2">
      <c r="A575" s="109">
        <v>45729</v>
      </c>
      <c r="B575" s="111">
        <v>0.63100000000000001</v>
      </c>
    </row>
    <row r="576" spans="1:2">
      <c r="A576" s="109">
        <v>45730</v>
      </c>
      <c r="B576" s="111">
        <v>0.62939999999999996</v>
      </c>
    </row>
    <row r="577" spans="1:2">
      <c r="A577" s="109">
        <v>45733</v>
      </c>
      <c r="B577" s="111">
        <v>0.63260000000000005</v>
      </c>
    </row>
    <row r="578" spans="1:2">
      <c r="A578" s="109">
        <v>45734</v>
      </c>
      <c r="B578" s="111">
        <v>0.63749999999999996</v>
      </c>
    </row>
    <row r="579" spans="1:2">
      <c r="A579" s="109">
        <v>45735</v>
      </c>
      <c r="B579" s="111">
        <v>0.63570000000000004</v>
      </c>
    </row>
    <row r="580" spans="1:2">
      <c r="A580" s="109">
        <v>45736</v>
      </c>
      <c r="B580" s="111">
        <v>0.63439999999999996</v>
      </c>
    </row>
    <row r="581" spans="1:2">
      <c r="A581" s="109">
        <v>45737</v>
      </c>
      <c r="B581" s="111">
        <v>0.62890000000000001</v>
      </c>
    </row>
    <row r="582" spans="1:2">
      <c r="A582" s="109">
        <v>45740</v>
      </c>
      <c r="B582" s="111">
        <v>0.62780000000000002</v>
      </c>
    </row>
    <row r="583" spans="1:2">
      <c r="A583" s="105">
        <v>45741</v>
      </c>
      <c r="B583" s="111">
        <v>0.62870000000000004</v>
      </c>
    </row>
    <row r="584" spans="1:2">
      <c r="A584" s="105">
        <v>45742</v>
      </c>
      <c r="B584" s="111">
        <v>0.63109999999999999</v>
      </c>
    </row>
    <row r="585" spans="1:2">
      <c r="A585" s="105">
        <v>45743</v>
      </c>
      <c r="B585" s="111">
        <v>0.63129999999999997</v>
      </c>
    </row>
    <row r="586" spans="1:2">
      <c r="A586" s="105">
        <v>45744</v>
      </c>
      <c r="B586" s="111">
        <v>0.62839999999999996</v>
      </c>
    </row>
    <row r="587" spans="1:2">
      <c r="A587" s="105">
        <v>45747</v>
      </c>
      <c r="B587" s="111">
        <v>0.628</v>
      </c>
    </row>
    <row r="588" spans="1:2">
      <c r="A588" s="105">
        <v>45748</v>
      </c>
      <c r="B588" s="111">
        <v>0.62690000000000001</v>
      </c>
    </row>
    <row r="589" spans="1:2">
      <c r="A589" s="105">
        <v>45749</v>
      </c>
      <c r="B589" s="111">
        <v>0.62990000000000002</v>
      </c>
    </row>
    <row r="590" spans="1:2">
      <c r="A590" s="105">
        <v>45750</v>
      </c>
      <c r="B590" s="111">
        <v>0.62660000000000005</v>
      </c>
    </row>
    <row r="591" spans="1:2">
      <c r="A591" s="105">
        <v>45751</v>
      </c>
      <c r="B591" s="111">
        <v>0.62339999999999995</v>
      </c>
    </row>
    <row r="592" spans="1:2">
      <c r="A592" s="105">
        <v>45754</v>
      </c>
      <c r="B592" s="111">
        <v>0.60170000000000001</v>
      </c>
    </row>
    <row r="593" spans="1:2">
      <c r="A593" s="105">
        <v>45755</v>
      </c>
      <c r="B593" s="111">
        <v>0.6069</v>
      </c>
    </row>
    <row r="594" spans="1:2">
      <c r="A594" s="105">
        <v>45756</v>
      </c>
      <c r="B594" s="111">
        <v>0.59750000000000003</v>
      </c>
    </row>
    <row r="595" spans="1:2">
      <c r="A595" s="105">
        <v>45757</v>
      </c>
      <c r="B595" s="111">
        <v>0.61990000000000001</v>
      </c>
    </row>
    <row r="596" spans="1:2">
      <c r="A596" s="105">
        <v>45758</v>
      </c>
      <c r="B596" s="111">
        <v>0.61970000000000003</v>
      </c>
    </row>
    <row r="597" spans="1:2">
      <c r="A597" s="105">
        <v>45761</v>
      </c>
      <c r="B597" s="111">
        <v>0.63029999999999997</v>
      </c>
    </row>
    <row r="598" spans="1:2">
      <c r="A598" s="105">
        <v>45762</v>
      </c>
      <c r="B598" s="111">
        <v>0.63519999999999999</v>
      </c>
    </row>
    <row r="599" spans="1:2">
      <c r="A599" s="105">
        <v>45763</v>
      </c>
      <c r="B599" s="111">
        <v>0.63529999999999998</v>
      </c>
    </row>
    <row r="600" spans="1:2">
      <c r="A600" s="105">
        <v>45764</v>
      </c>
      <c r="B600" s="111">
        <v>0.6341</v>
      </c>
    </row>
    <row r="601" spans="1:2">
      <c r="A601" s="105">
        <v>45769</v>
      </c>
      <c r="B601" s="111">
        <v>0.64370000000000005</v>
      </c>
    </row>
    <row r="602" spans="1:2">
      <c r="A602" s="105">
        <v>45770</v>
      </c>
      <c r="B602" s="111">
        <v>0.63980000000000004</v>
      </c>
    </row>
    <row r="603" spans="1:2">
      <c r="A603" s="105">
        <v>45771</v>
      </c>
      <c r="B603" s="111">
        <v>0.63470000000000004</v>
      </c>
    </row>
    <row r="604" spans="1:2">
      <c r="A604" s="105">
        <v>45775</v>
      </c>
      <c r="B604" s="111">
        <v>0.64039999999999997</v>
      </c>
    </row>
    <row r="605" spans="1:2">
      <c r="A605" s="105">
        <v>45776</v>
      </c>
      <c r="B605" s="111">
        <v>0.64129999999999998</v>
      </c>
    </row>
    <row r="606" spans="1:2">
      <c r="A606" s="105">
        <v>45777</v>
      </c>
      <c r="B606" s="111">
        <v>0.64159999999999995</v>
      </c>
    </row>
    <row r="607" spans="1:2">
      <c r="A607" s="105">
        <v>45778</v>
      </c>
      <c r="B607" s="111">
        <v>0.63939999999999997</v>
      </c>
    </row>
    <row r="608" spans="1:2">
      <c r="A608" s="105">
        <v>45779</v>
      </c>
      <c r="B608" s="111">
        <v>0.6411</v>
      </c>
    </row>
    <row r="609" spans="1:2">
      <c r="A609" s="105">
        <v>45782</v>
      </c>
      <c r="B609" s="111">
        <v>0.64790000000000003</v>
      </c>
    </row>
    <row r="610" spans="1:2">
      <c r="A610" s="105">
        <v>45783</v>
      </c>
      <c r="B610" s="111">
        <v>0.64529999999999998</v>
      </c>
    </row>
    <row r="611" spans="1:2">
      <c r="A611" s="105">
        <v>45784</v>
      </c>
      <c r="B611" s="111">
        <v>0.64839999999999998</v>
      </c>
    </row>
    <row r="612" spans="1:2">
      <c r="A612" s="105">
        <v>45785</v>
      </c>
      <c r="B612" s="111">
        <v>0.64449999999999996</v>
      </c>
    </row>
    <row r="613" spans="1:2">
      <c r="A613" s="105">
        <v>45786</v>
      </c>
      <c r="B613" s="111">
        <v>0.64070000000000005</v>
      </c>
    </row>
    <row r="614" spans="1:2">
      <c r="A614" s="105">
        <v>45789</v>
      </c>
      <c r="B614" s="111">
        <v>0.64390000000000003</v>
      </c>
    </row>
    <row r="615" spans="1:2">
      <c r="A615" s="105">
        <v>45790</v>
      </c>
      <c r="B615" s="111">
        <v>0.64090000000000003</v>
      </c>
    </row>
    <row r="616" spans="1:2">
      <c r="A616" s="105">
        <v>45791</v>
      </c>
      <c r="B616" s="111">
        <v>0.6472</v>
      </c>
    </row>
    <row r="617" spans="1:2">
      <c r="A617" s="105">
        <v>45792</v>
      </c>
      <c r="B617" s="111">
        <v>0.64259999999999995</v>
      </c>
    </row>
    <row r="618" spans="1:2">
      <c r="A618" s="105">
        <v>45793</v>
      </c>
      <c r="B618" s="111">
        <v>0.64359999999999995</v>
      </c>
    </row>
    <row r="619" spans="1:2">
      <c r="A619" s="105">
        <v>45796</v>
      </c>
      <c r="B619" s="111">
        <v>0.64019999999999999</v>
      </c>
    </row>
    <row r="620" spans="1:2">
      <c r="A620" s="105">
        <v>45797</v>
      </c>
      <c r="B620" s="111">
        <v>0.64159999999999995</v>
      </c>
    </row>
    <row r="621" spans="1:2">
      <c r="A621" s="105">
        <v>45798</v>
      </c>
      <c r="B621" s="111">
        <v>0.6452</v>
      </c>
    </row>
    <row r="622" spans="1:2">
      <c r="A622" s="105">
        <v>45799</v>
      </c>
      <c r="B622" s="111">
        <v>0.64480000000000004</v>
      </c>
    </row>
    <row r="623" spans="1:2">
      <c r="A623" s="105">
        <v>45800</v>
      </c>
      <c r="B623" s="111">
        <v>0.64370000000000005</v>
      </c>
    </row>
    <row r="624" spans="1:2">
      <c r="A624" s="105">
        <v>45803</v>
      </c>
      <c r="B624" s="111">
        <v>0.65269999999999995</v>
      </c>
    </row>
    <row r="625" spans="1:2">
      <c r="A625" s="105">
        <v>45804</v>
      </c>
      <c r="B625" s="111">
        <v>0.64810000000000001</v>
      </c>
    </row>
    <row r="626" spans="1:2">
      <c r="A626" s="105">
        <v>45805</v>
      </c>
      <c r="B626" s="111">
        <v>0.64359999999999995</v>
      </c>
    </row>
    <row r="627" spans="1:2">
      <c r="A627" s="105">
        <v>45806</v>
      </c>
      <c r="B627" s="111">
        <v>0.6421</v>
      </c>
    </row>
    <row r="628" spans="1:2">
      <c r="A628" s="105">
        <v>45807</v>
      </c>
      <c r="B628" s="111">
        <v>0.64359999999999995</v>
      </c>
    </row>
    <row r="629" spans="1:2">
      <c r="A629" s="105">
        <v>45810</v>
      </c>
      <c r="B629" s="111">
        <v>0.64580000000000004</v>
      </c>
    </row>
    <row r="630" spans="1:2">
      <c r="A630" s="105">
        <v>45811</v>
      </c>
      <c r="B630" s="111">
        <v>0.64639999999999997</v>
      </c>
    </row>
    <row r="631" spans="1:2">
      <c r="A631" s="105">
        <v>45812</v>
      </c>
      <c r="B631" s="111">
        <v>0.64580000000000004</v>
      </c>
    </row>
    <row r="632" spans="1:2">
      <c r="A632" s="105">
        <v>45813</v>
      </c>
      <c r="B632" s="111">
        <v>0.64900000000000002</v>
      </c>
    </row>
    <row r="633" spans="1:2">
      <c r="A633" s="105">
        <v>45814</v>
      </c>
      <c r="B633" s="111">
        <v>0.65010000000000001</v>
      </c>
    </row>
    <row r="634" spans="1:2">
      <c r="A634" s="105">
        <v>45818</v>
      </c>
      <c r="B634" s="111">
        <v>0.65049999999999997</v>
      </c>
    </row>
    <row r="635" spans="1:2">
      <c r="A635" s="105">
        <v>45819</v>
      </c>
      <c r="B635" s="111">
        <v>0.65180000000000005</v>
      </c>
    </row>
    <row r="636" spans="1:2">
      <c r="A636" s="105">
        <v>45820</v>
      </c>
      <c r="B636" s="111">
        <v>0.65039999999999998</v>
      </c>
    </row>
    <row r="637" spans="1:2">
      <c r="A637" s="105">
        <v>45821</v>
      </c>
      <c r="B637" s="111">
        <v>0.64749999999999996</v>
      </c>
    </row>
    <row r="638" spans="1:2">
      <c r="A638" s="105">
        <v>45824</v>
      </c>
      <c r="B638" s="111">
        <v>0.64990000000000003</v>
      </c>
    </row>
    <row r="639" spans="1:2">
      <c r="A639" s="105">
        <v>45825</v>
      </c>
      <c r="B639" s="111">
        <v>0.65310000000000001</v>
      </c>
    </row>
    <row r="640" spans="1:2">
      <c r="A640" s="105">
        <v>45826</v>
      </c>
      <c r="B640" s="111">
        <v>0.65039999999999998</v>
      </c>
    </row>
    <row r="641" spans="1:2">
      <c r="A641" s="105">
        <v>45827</v>
      </c>
      <c r="B641" s="111">
        <v>0.64659999999999995</v>
      </c>
    </row>
    <row r="642" spans="1:2">
      <c r="A642" s="105">
        <v>45828</v>
      </c>
      <c r="B642" s="111">
        <v>0.6492</v>
      </c>
    </row>
    <row r="643" spans="1:2">
      <c r="A643" s="105">
        <v>45831</v>
      </c>
      <c r="B643" s="111">
        <v>0.64119999999999999</v>
      </c>
    </row>
    <row r="644" spans="1:2">
      <c r="A644" s="105">
        <v>45832</v>
      </c>
      <c r="B644" s="111">
        <v>0.64980000000000004</v>
      </c>
    </row>
    <row r="645" spans="1:2">
      <c r="A645" s="105">
        <v>45833</v>
      </c>
      <c r="B645" s="111">
        <v>0.65</v>
      </c>
    </row>
    <row r="646" spans="1:2">
      <c r="A646" s="105">
        <v>45834</v>
      </c>
      <c r="B646" s="111">
        <v>0.65280000000000005</v>
      </c>
    </row>
    <row r="647" spans="1:2">
      <c r="A647" s="105">
        <v>45835</v>
      </c>
      <c r="B647" s="111">
        <v>0.65429999999999999</v>
      </c>
    </row>
    <row r="648" spans="1:2">
      <c r="A648" s="105">
        <v>45838</v>
      </c>
      <c r="B648" s="111">
        <v>0.65500000000000003</v>
      </c>
    </row>
    <row r="649" spans="1:2">
      <c r="A649" s="105">
        <v>45839</v>
      </c>
      <c r="B649" s="111">
        <v>0.65790000000000004</v>
      </c>
    </row>
    <row r="650" spans="1:2">
      <c r="A650" s="105">
        <v>45840</v>
      </c>
      <c r="B650" s="111">
        <v>0.65769999999999995</v>
      </c>
    </row>
    <row r="651" spans="1:2">
      <c r="A651" s="105">
        <v>45841</v>
      </c>
      <c r="B651" s="111">
        <v>0.65720000000000001</v>
      </c>
    </row>
    <row r="652" spans="1:2">
      <c r="A652" s="105">
        <v>45842</v>
      </c>
      <c r="B652" s="111">
        <v>0.65710000000000002</v>
      </c>
    </row>
    <row r="653" spans="1:2">
      <c r="A653" s="105">
        <v>45845</v>
      </c>
      <c r="B653" s="111">
        <v>0.65100000000000002</v>
      </c>
    </row>
    <row r="654" spans="1:2">
      <c r="A654" s="105">
        <v>45846</v>
      </c>
      <c r="B654" s="111">
        <v>0.65390000000000004</v>
      </c>
    </row>
    <row r="655" spans="1:2">
      <c r="A655" s="105">
        <v>45847</v>
      </c>
      <c r="B655" s="111">
        <v>0.65339999999999998</v>
      </c>
    </row>
    <row r="656" spans="1:2">
      <c r="A656" s="105">
        <v>45848</v>
      </c>
      <c r="B656" s="111">
        <v>0.65490000000000004</v>
      </c>
    </row>
    <row r="657" spans="1:2">
      <c r="A657" s="105">
        <v>45849</v>
      </c>
      <c r="B657" s="111">
        <v>0.65800000000000003</v>
      </c>
    </row>
    <row r="658" spans="1:2">
      <c r="A658" s="105">
        <v>45852</v>
      </c>
      <c r="B658" s="111">
        <v>0.65610000000000002</v>
      </c>
    </row>
    <row r="659" spans="1:2">
      <c r="A659" s="105">
        <v>45853</v>
      </c>
      <c r="B659" s="111">
        <v>0.65549999999999997</v>
      </c>
    </row>
    <row r="660" spans="1:2">
      <c r="A660" s="105">
        <v>45854</v>
      </c>
      <c r="B660" s="111">
        <v>0.65280000000000005</v>
      </c>
    </row>
    <row r="661" spans="1:2">
      <c r="A661" s="105">
        <v>45855</v>
      </c>
      <c r="B661" s="111">
        <v>0.64880000000000004</v>
      </c>
    </row>
    <row r="662" spans="1:2">
      <c r="A662" s="105">
        <v>45856</v>
      </c>
      <c r="B662" s="111">
        <v>0.6502</v>
      </c>
    </row>
    <row r="663" spans="1:2">
      <c r="A663" s="105">
        <v>45859</v>
      </c>
      <c r="B663" s="111">
        <v>0.65139999999999998</v>
      </c>
    </row>
    <row r="664" spans="1:2">
      <c r="A664" s="105">
        <v>45860</v>
      </c>
      <c r="B664" s="111">
        <v>0.65129999999999999</v>
      </c>
    </row>
    <row r="665" spans="1:2">
      <c r="A665" s="105">
        <v>45861</v>
      </c>
      <c r="B665" s="111">
        <v>0.65680000000000005</v>
      </c>
    </row>
    <row r="666" spans="1:2">
      <c r="A666" s="105">
        <v>45862</v>
      </c>
      <c r="B666" s="111">
        <v>0.66210000000000002</v>
      </c>
    </row>
    <row r="667" spans="1:2">
      <c r="A667" s="105">
        <v>45863</v>
      </c>
      <c r="B667" s="111">
        <v>0.65810000000000002</v>
      </c>
    </row>
    <row r="668" spans="1:2">
      <c r="A668" s="105">
        <v>45866</v>
      </c>
      <c r="B668" s="111">
        <v>0.65639999999999998</v>
      </c>
    </row>
    <row r="669" spans="1:2">
      <c r="A669" s="105">
        <v>45867</v>
      </c>
      <c r="B669" s="111">
        <v>0.65249999999999997</v>
      </c>
    </row>
    <row r="670" spans="1:2">
      <c r="A670" s="105">
        <v>45868</v>
      </c>
      <c r="B670" s="111">
        <v>0.65110000000000001</v>
      </c>
    </row>
    <row r="671" spans="1:2">
      <c r="A671" s="105">
        <v>45869</v>
      </c>
      <c r="B671" s="111">
        <v>0.64690000000000003</v>
      </c>
    </row>
    <row r="672" spans="1:2">
      <c r="A672" s="105">
        <v>45870</v>
      </c>
      <c r="B672" s="111">
        <v>0.64349999999999996</v>
      </c>
    </row>
    <row r="673" spans="1:2">
      <c r="A673" s="105">
        <v>45874</v>
      </c>
      <c r="B673" s="111">
        <v>0.64590000000000003</v>
      </c>
    </row>
    <row r="674" spans="1:2">
      <c r="A674" s="105">
        <v>45875</v>
      </c>
      <c r="B674" s="111">
        <v>0.64870000000000005</v>
      </c>
    </row>
    <row r="675" spans="1:2">
      <c r="A675" s="105">
        <v>45876</v>
      </c>
      <c r="B675" s="111">
        <v>0.65169999999999995</v>
      </c>
    </row>
    <row r="676" spans="1:2">
      <c r="A676" s="105">
        <v>45877</v>
      </c>
      <c r="B676" s="111">
        <v>0.65190000000000003</v>
      </c>
    </row>
    <row r="677" spans="1:2">
      <c r="A677" s="105">
        <v>45880</v>
      </c>
      <c r="B677" s="111">
        <v>0.65259999999999996</v>
      </c>
    </row>
    <row r="678" spans="1:2">
      <c r="A678" s="105">
        <v>45881</v>
      </c>
      <c r="B678" s="111">
        <v>0.64980000000000004</v>
      </c>
    </row>
    <row r="679" spans="1:2">
      <c r="A679" s="105">
        <v>45882</v>
      </c>
      <c r="B679" s="111">
        <v>0.6532</v>
      </c>
    </row>
    <row r="680" spans="1:2">
      <c r="A680" s="105">
        <v>45883</v>
      </c>
      <c r="B680" s="111">
        <v>0.65490000000000004</v>
      </c>
    </row>
    <row r="681" spans="1:2">
      <c r="A681" s="105">
        <v>45884</v>
      </c>
      <c r="B681" s="111">
        <v>0.65049999999999997</v>
      </c>
    </row>
    <row r="682" spans="1:2">
      <c r="A682" s="105">
        <v>45887</v>
      </c>
      <c r="B682" s="111">
        <v>0.65200000000000002</v>
      </c>
    </row>
    <row r="683" spans="1:2">
      <c r="A683" s="105">
        <v>45888</v>
      </c>
      <c r="B683" s="111">
        <v>0.64790000000000003</v>
      </c>
    </row>
    <row r="684" spans="1:2">
      <c r="A684" s="105">
        <v>45889</v>
      </c>
      <c r="B684" s="111">
        <v>0.64500000000000002</v>
      </c>
    </row>
    <row r="685" spans="1:2">
      <c r="A685" s="105">
        <v>45890</v>
      </c>
      <c r="B685" s="111">
        <v>0.64259999999999995</v>
      </c>
    </row>
    <row r="686" spans="1:2">
      <c r="A686" s="105">
        <v>45891</v>
      </c>
      <c r="B686" s="111">
        <v>0.64170000000000005</v>
      </c>
    </row>
    <row r="687" spans="1:2">
      <c r="A687" s="105">
        <v>45894</v>
      </c>
      <c r="B687" s="111">
        <v>0.64939999999999998</v>
      </c>
    </row>
    <row r="688" spans="1:2">
      <c r="A688" s="105">
        <v>45895</v>
      </c>
      <c r="B688" s="111">
        <v>0.6482</v>
      </c>
    </row>
    <row r="689" spans="1:2">
      <c r="A689" s="105">
        <v>45896</v>
      </c>
      <c r="B689" s="111">
        <v>0.64870000000000005</v>
      </c>
    </row>
    <row r="690" spans="1:2">
      <c r="A690" s="105">
        <v>45897</v>
      </c>
      <c r="B690" s="111">
        <v>0.65100000000000002</v>
      </c>
    </row>
    <row r="691" spans="1:2">
      <c r="A691" s="105">
        <v>45898</v>
      </c>
      <c r="B691" s="111">
        <v>0.65380000000000005</v>
      </c>
    </row>
    <row r="692" spans="1:2">
      <c r="A692" s="105">
        <v>45901</v>
      </c>
      <c r="B692" s="111">
        <v>0.65439999999999998</v>
      </c>
    </row>
    <row r="693" spans="1:2">
      <c r="A693" s="105">
        <v>45902</v>
      </c>
      <c r="B693" s="111">
        <v>0.65380000000000005</v>
      </c>
    </row>
    <row r="694" spans="1:2">
      <c r="A694" s="105">
        <v>45903</v>
      </c>
      <c r="B694" s="111">
        <v>0.65139999999999998</v>
      </c>
    </row>
    <row r="695" spans="1:2">
      <c r="A695" s="105">
        <v>45904</v>
      </c>
      <c r="B695" s="111">
        <v>0.65249999999999997</v>
      </c>
    </row>
    <row r="696" spans="1:2">
      <c r="A696" s="105">
        <v>45905</v>
      </c>
      <c r="B696" s="111">
        <v>0.65369999999999995</v>
      </c>
    </row>
    <row r="697" spans="1:2">
      <c r="A697" s="105">
        <v>45908</v>
      </c>
      <c r="B697" s="111">
        <v>0.65659999999999996</v>
      </c>
    </row>
    <row r="698" spans="1:2">
      <c r="A698" s="105">
        <v>45909</v>
      </c>
      <c r="B698" s="111">
        <v>0.66139999999999999</v>
      </c>
    </row>
    <row r="699" spans="1:2">
      <c r="A699" s="105">
        <v>45910</v>
      </c>
      <c r="B699" s="111">
        <v>0.66100000000000003</v>
      </c>
    </row>
    <row r="700" spans="1:2">
      <c r="A700" s="105">
        <v>45911</v>
      </c>
      <c r="B700" s="111">
        <v>0.66039999999999999</v>
      </c>
    </row>
    <row r="701" spans="1:2">
      <c r="A701" s="105">
        <v>45912</v>
      </c>
      <c r="B701" s="111">
        <v>0.66579999999999995</v>
      </c>
    </row>
    <row r="702" spans="1:2">
      <c r="A702" s="105">
        <v>45915</v>
      </c>
      <c r="B702" s="111">
        <v>0.66610000000000003</v>
      </c>
    </row>
    <row r="703" spans="1:2">
      <c r="A703" s="105">
        <v>45916</v>
      </c>
      <c r="B703" s="111">
        <v>0.66669999999999996</v>
      </c>
    </row>
    <row r="704" spans="1:2">
      <c r="A704" s="105">
        <v>45917</v>
      </c>
      <c r="B704" s="111">
        <v>0.66779999999999995</v>
      </c>
    </row>
    <row r="705" spans="1:2">
      <c r="A705" s="105">
        <v>45918</v>
      </c>
      <c r="B705" s="111">
        <v>0.66239999999999999</v>
      </c>
    </row>
    <row r="706" spans="1:2">
      <c r="A706" s="105">
        <v>45919</v>
      </c>
      <c r="B706" s="111">
        <v>0.65959999999999996</v>
      </c>
    </row>
    <row r="707" spans="1:2">
      <c r="A707" s="105">
        <v>45922</v>
      </c>
      <c r="B707" s="111">
        <v>0.6593</v>
      </c>
    </row>
    <row r="708" spans="1:2">
      <c r="A708" s="105">
        <v>45923</v>
      </c>
      <c r="B708" s="111">
        <v>0.65890000000000004</v>
      </c>
    </row>
    <row r="709" spans="1:2">
      <c r="A709" s="105">
        <v>45924</v>
      </c>
      <c r="B709" s="111">
        <v>0.66249999999999998</v>
      </c>
    </row>
    <row r="710" spans="1:2">
      <c r="A710" s="105">
        <v>45925</v>
      </c>
      <c r="B710" s="111">
        <v>0.65949999999999998</v>
      </c>
    </row>
    <row r="711" spans="1:2">
      <c r="A711" s="105">
        <v>45926</v>
      </c>
      <c r="B711" s="111">
        <v>0.65400000000000003</v>
      </c>
    </row>
    <row r="712" spans="1:2">
      <c r="A712" s="105">
        <v>45929</v>
      </c>
      <c r="B712" s="111">
        <v>0.65710000000000002</v>
      </c>
    </row>
    <row r="713" spans="1:2">
      <c r="A713" s="105">
        <v>45930</v>
      </c>
      <c r="B713" s="111">
        <v>0.66020000000000001</v>
      </c>
    </row>
    <row r="714" spans="1:2">
      <c r="A714" s="105">
        <v>45931</v>
      </c>
      <c r="B714" s="111">
        <v>0.66010000000000002</v>
      </c>
    </row>
    <row r="715" spans="1:2">
      <c r="A715" s="105">
        <v>45932</v>
      </c>
      <c r="B715" s="111">
        <v>0.66190000000000004</v>
      </c>
    </row>
    <row r="716" spans="1:2">
      <c r="A716" s="105">
        <v>45933</v>
      </c>
      <c r="B716" s="111">
        <v>0.65910000000000002</v>
      </c>
    </row>
    <row r="717" spans="1:2">
      <c r="A717" s="105">
        <v>45937</v>
      </c>
      <c r="B717" s="111">
        <v>0.66120000000000001</v>
      </c>
    </row>
    <row r="718" spans="1:2">
      <c r="A718" s="105">
        <v>45938</v>
      </c>
      <c r="B718" s="111">
        <v>0.65639999999999998</v>
      </c>
    </row>
    <row r="719" spans="1:2">
      <c r="A719" s="105">
        <v>45939</v>
      </c>
      <c r="B719" s="111">
        <v>0.66080000000000005</v>
      </c>
    </row>
    <row r="720" spans="1:2">
      <c r="A720" s="105">
        <v>45940</v>
      </c>
      <c r="B720" s="111">
        <v>0.65680000000000005</v>
      </c>
    </row>
    <row r="721" spans="1:2">
      <c r="A721" s="105">
        <v>45943</v>
      </c>
      <c r="B721" s="111">
        <v>0.65239999999999998</v>
      </c>
    </row>
    <row r="722" spans="1:2">
      <c r="A722" s="105">
        <v>45944</v>
      </c>
      <c r="B722" s="111">
        <v>0.64800000000000002</v>
      </c>
    </row>
    <row r="723" spans="1:2">
      <c r="A723" s="105">
        <v>45945</v>
      </c>
      <c r="B723" s="111">
        <v>0.65159999999999996</v>
      </c>
    </row>
    <row r="724" spans="1:2">
      <c r="A724" s="105">
        <v>45946</v>
      </c>
      <c r="B724" s="111">
        <v>0.6492</v>
      </c>
    </row>
    <row r="725" spans="1:2">
      <c r="A725" s="105">
        <v>45947</v>
      </c>
      <c r="B725" s="111">
        <v>0.64749999999999996</v>
      </c>
    </row>
    <row r="726" spans="1:2">
      <c r="A726" s="105">
        <v>45950</v>
      </c>
      <c r="B726" s="111">
        <v>0.65029999999999999</v>
      </c>
    </row>
    <row r="727" spans="1:2">
      <c r="A727" s="105">
        <v>45951</v>
      </c>
      <c r="B727" s="111">
        <v>0.65039999999999998</v>
      </c>
    </row>
    <row r="728" spans="1:2">
      <c r="A728" s="105">
        <v>45952</v>
      </c>
      <c r="B728" s="111">
        <v>0.65010000000000001</v>
      </c>
    </row>
    <row r="729" spans="1:2">
      <c r="A729" s="105">
        <v>45953</v>
      </c>
      <c r="B729" s="111">
        <v>0.64859999999999995</v>
      </c>
    </row>
    <row r="730" spans="1:2">
      <c r="A730" s="105">
        <v>45954</v>
      </c>
      <c r="B730" s="111">
        <v>0.6502</v>
      </c>
    </row>
    <row r="731" spans="1:2">
      <c r="A731" s="105">
        <v>45957</v>
      </c>
      <c r="B731" s="111">
        <v>0.65329999999999999</v>
      </c>
    </row>
    <row r="732" spans="1:2">
      <c r="A732" s="105">
        <v>45958</v>
      </c>
      <c r="B732" s="111">
        <v>0.65639999999999998</v>
      </c>
    </row>
    <row r="733" spans="1:2">
      <c r="A733" s="105">
        <v>45959</v>
      </c>
      <c r="B733" s="111">
        <v>0.65959999999999996</v>
      </c>
    </row>
    <row r="734" spans="1:2">
      <c r="A734" s="105">
        <v>45960</v>
      </c>
      <c r="B734" s="111">
        <v>0.65949999999999998</v>
      </c>
    </row>
    <row r="735" spans="1:2">
      <c r="A735" s="105">
        <v>45961</v>
      </c>
      <c r="B735" s="111">
        <v>0.65510000000000002</v>
      </c>
    </row>
    <row r="736" spans="1:2">
      <c r="A736" s="105">
        <v>45964</v>
      </c>
      <c r="B736" s="111">
        <v>0.65539999999999998</v>
      </c>
    </row>
    <row r="737" spans="1:2">
      <c r="A737" s="105">
        <v>45965</v>
      </c>
      <c r="B737" s="111">
        <v>0.6532</v>
      </c>
    </row>
    <row r="738" spans="1:2">
      <c r="A738" s="105">
        <v>45966</v>
      </c>
      <c r="B738" s="111">
        <v>0.6492</v>
      </c>
    </row>
    <row r="739" spans="1:2">
      <c r="A739" s="105">
        <v>45967</v>
      </c>
      <c r="B739" s="111">
        <v>0.65139999999999998</v>
      </c>
    </row>
    <row r="740" spans="1:2">
      <c r="A740" s="105">
        <v>45968</v>
      </c>
      <c r="B740" s="111">
        <v>0.64759999999999995</v>
      </c>
    </row>
    <row r="741" spans="1:2">
      <c r="A741" s="105">
        <v>45971</v>
      </c>
      <c r="B741" s="111">
        <v>0.65249999999999997</v>
      </c>
    </row>
    <row r="742" spans="1:2">
      <c r="A742" s="105">
        <v>45972</v>
      </c>
      <c r="B742" s="111">
        <v>0.65239999999999998</v>
      </c>
    </row>
    <row r="743" spans="1:2">
      <c r="A743" s="105">
        <v>45973</v>
      </c>
      <c r="B743" s="111">
        <v>0.65210000000000001</v>
      </c>
    </row>
    <row r="744" spans="1:2">
      <c r="A744" s="105">
        <v>45974</v>
      </c>
      <c r="B744" s="111">
        <v>0.65569999999999995</v>
      </c>
    </row>
    <row r="745" spans="1:2">
      <c r="A745" s="105">
        <v>45975</v>
      </c>
      <c r="B745" s="111">
        <v>0.65329999999999999</v>
      </c>
    </row>
    <row r="746" spans="1:2">
      <c r="A746" s="105">
        <v>45978</v>
      </c>
      <c r="B746" s="111">
        <v>0.65229999999999999</v>
      </c>
    </row>
    <row r="747" spans="1:2">
      <c r="A747" s="105">
        <v>45979</v>
      </c>
      <c r="B747" s="111">
        <v>0.64810000000000001</v>
      </c>
    </row>
    <row r="748" spans="1:2">
      <c r="A748" s="105">
        <v>45980</v>
      </c>
      <c r="B748" s="111">
        <v>0.64839999999999998</v>
      </c>
    </row>
    <row r="749" spans="1:2">
      <c r="A749" s="105">
        <v>45981</v>
      </c>
      <c r="B749" s="111">
        <v>0.64870000000000005</v>
      </c>
    </row>
    <row r="750" spans="1:2">
      <c r="A750" s="105">
        <v>45982</v>
      </c>
      <c r="B750" s="111">
        <v>0.64459999999999995</v>
      </c>
    </row>
    <row r="751" spans="1:2">
      <c r="A751" s="105">
        <v>45985</v>
      </c>
      <c r="B751" s="111">
        <v>0.64610000000000001</v>
      </c>
    </row>
    <row r="752" spans="1:2">
      <c r="A752" s="105">
        <v>45986</v>
      </c>
      <c r="B752" s="111">
        <v>0.64539999999999997</v>
      </c>
    </row>
    <row r="753" spans="1:2">
      <c r="A753" s="105">
        <v>45987</v>
      </c>
      <c r="B753" s="111">
        <v>0.65029999999999999</v>
      </c>
    </row>
    <row r="754" spans="1:2">
      <c r="A754" s="105">
        <v>45988</v>
      </c>
      <c r="B754" s="111">
        <v>0.65359999999999996</v>
      </c>
    </row>
    <row r="755" spans="1:2">
      <c r="A755" s="105">
        <v>45989</v>
      </c>
      <c r="B755" s="111">
        <v>0.65329999999999999</v>
      </c>
    </row>
    <row r="756" spans="1:2">
      <c r="A756" s="105">
        <v>45992</v>
      </c>
      <c r="B756" s="111">
        <v>0.65449999999999997</v>
      </c>
    </row>
    <row r="757" spans="1:2">
      <c r="A757" s="105">
        <v>45993</v>
      </c>
      <c r="B757" s="111">
        <v>0.65500000000000003</v>
      </c>
    </row>
    <row r="758" spans="1:2">
      <c r="A758" s="105">
        <v>45994</v>
      </c>
      <c r="B758" s="111">
        <v>0.65800000000000003</v>
      </c>
    </row>
    <row r="759" spans="1:2">
      <c r="A759" s="105">
        <v>45995</v>
      </c>
      <c r="B759" s="111">
        <v>0.66139999999999999</v>
      </c>
    </row>
    <row r="760" spans="1:2">
      <c r="A760" s="105">
        <v>45996</v>
      </c>
      <c r="B760" s="111">
        <v>0.66200000000000003</v>
      </c>
    </row>
    <row r="761" spans="1:2">
      <c r="A761" s="105">
        <v>45999</v>
      </c>
      <c r="B761" s="111">
        <v>0.66449999999999998</v>
      </c>
    </row>
    <row r="762" spans="1:2">
      <c r="A762" s="105">
        <v>46000</v>
      </c>
      <c r="B762" s="111">
        <v>0.66469999999999996</v>
      </c>
    </row>
    <row r="763" spans="1:2">
      <c r="A763" s="105">
        <v>46001</v>
      </c>
      <c r="B763" s="111">
        <v>0.66410000000000002</v>
      </c>
    </row>
    <row r="764" spans="1:2">
      <c r="A764" s="105">
        <v>46002</v>
      </c>
      <c r="B764" s="111">
        <v>0.66390000000000005</v>
      </c>
    </row>
    <row r="765" spans="1:2">
      <c r="A765" s="105">
        <v>46003</v>
      </c>
      <c r="B765" s="111">
        <v>0.66610000000000003</v>
      </c>
    </row>
    <row r="766" spans="1:2">
      <c r="A766" s="105">
        <v>46006</v>
      </c>
      <c r="B766" s="111">
        <v>0.66459999999999997</v>
      </c>
    </row>
    <row r="767" spans="1:2">
      <c r="A767" s="105">
        <v>46007</v>
      </c>
      <c r="B767" s="111">
        <v>0.66369999999999996</v>
      </c>
    </row>
    <row r="768" spans="1:2">
      <c r="A768" s="105">
        <v>46008</v>
      </c>
      <c r="B768" s="111">
        <v>0.66159999999999997</v>
      </c>
    </row>
    <row r="769" spans="1:2">
      <c r="A769" s="105">
        <v>46009</v>
      </c>
      <c r="B769" s="111">
        <v>0.66020000000000001</v>
      </c>
    </row>
    <row r="770" spans="1:2">
      <c r="A770" s="105">
        <v>46010</v>
      </c>
      <c r="B770" s="111">
        <v>0.66090000000000004</v>
      </c>
    </row>
    <row r="771" spans="1:2">
      <c r="A771" s="105">
        <v>46013</v>
      </c>
      <c r="B771" s="111">
        <v>0.66279999999999994</v>
      </c>
    </row>
    <row r="772" spans="1:2">
      <c r="A772" s="105">
        <v>46014</v>
      </c>
      <c r="B772" s="111">
        <v>0.66690000000000005</v>
      </c>
    </row>
    <row r="773" spans="1:2">
      <c r="A773" s="105">
        <v>46015</v>
      </c>
      <c r="B773" s="111">
        <v>0.67090000000000005</v>
      </c>
    </row>
    <row r="774" spans="1:2">
      <c r="A774" s="105">
        <v>46020</v>
      </c>
      <c r="B774" s="111">
        <v>0.67220000000000002</v>
      </c>
    </row>
    <row r="775" spans="1:2">
      <c r="A775" s="105">
        <v>46021</v>
      </c>
      <c r="B775" s="111">
        <v>0.67110000000000003</v>
      </c>
    </row>
    <row r="776" spans="1:2">
      <c r="A776" s="105">
        <v>46022</v>
      </c>
      <c r="B776" s="111">
        <v>0.66930000000000001</v>
      </c>
    </row>
    <row r="777" spans="1:2">
      <c r="A777" s="105">
        <v>46024</v>
      </c>
      <c r="B777" s="111">
        <v>0.66990000000000005</v>
      </c>
    </row>
    <row r="778" spans="1:2">
      <c r="A778" s="105">
        <v>46027</v>
      </c>
      <c r="B778" s="111">
        <v>0.6673</v>
      </c>
    </row>
    <row r="779" spans="1:2">
      <c r="A779" s="105">
        <v>46028</v>
      </c>
      <c r="B779" s="111">
        <v>0.67259999999999998</v>
      </c>
    </row>
    <row r="780" spans="1:2">
      <c r="A780" s="105">
        <v>46029</v>
      </c>
      <c r="B780" s="111">
        <v>0.67610000000000003</v>
      </c>
    </row>
    <row r="781" spans="1:2">
      <c r="A781" s="105">
        <v>46030</v>
      </c>
      <c r="B781" s="111">
        <v>0.67069999999999996</v>
      </c>
    </row>
    <row r="782" spans="1:2">
      <c r="A782" s="105">
        <v>46031</v>
      </c>
      <c r="B782" s="111">
        <v>0.66979999999999995</v>
      </c>
    </row>
    <row r="783" spans="1:2">
      <c r="A783" s="105">
        <v>46034</v>
      </c>
      <c r="B783" s="111">
        <v>0.66959999999999997</v>
      </c>
    </row>
    <row r="784" spans="1:2">
      <c r="A784" s="105">
        <v>46035</v>
      </c>
      <c r="B784" s="111">
        <v>0.67110000000000003</v>
      </c>
    </row>
    <row r="785" spans="1:2">
      <c r="A785" s="105">
        <v>46036</v>
      </c>
      <c r="B785" s="111">
        <v>0.66969999999999996</v>
      </c>
    </row>
    <row r="786" spans="1:2">
      <c r="A786" s="105">
        <v>46037</v>
      </c>
      <c r="B786" s="111">
        <v>0.66749999999999998</v>
      </c>
    </row>
    <row r="787" spans="1:2">
      <c r="A787" s="105">
        <v>46038</v>
      </c>
      <c r="B787" s="111">
        <v>0.67069999999999996</v>
      </c>
    </row>
    <row r="788" spans="1:2">
      <c r="A788" s="105">
        <v>46041</v>
      </c>
      <c r="B788" s="111">
        <v>0.66920000000000002</v>
      </c>
    </row>
    <row r="789" spans="1:2">
      <c r="A789" s="105">
        <v>46042</v>
      </c>
      <c r="B789" s="111">
        <v>0.67379999999999995</v>
      </c>
    </row>
    <row r="790" spans="1:2">
      <c r="A790" s="105">
        <v>46043</v>
      </c>
      <c r="B790" s="111">
        <v>0.67330000000000001</v>
      </c>
    </row>
    <row r="791" spans="1:2">
      <c r="A791" s="105">
        <v>46044</v>
      </c>
      <c r="B791" s="111">
        <v>0.68049999999999999</v>
      </c>
    </row>
    <row r="792" spans="1:2">
      <c r="A792" s="105">
        <v>46045</v>
      </c>
      <c r="B792" s="111">
        <v>0.68500000000000005</v>
      </c>
    </row>
    <row r="793" spans="1:2">
      <c r="A793" s="105">
        <v>46049</v>
      </c>
      <c r="B793" s="111">
        <v>0.69120000000000004</v>
      </c>
    </row>
    <row r="794" spans="1:2">
      <c r="A794" s="105">
        <v>46050</v>
      </c>
      <c r="B794" s="111">
        <v>0.69930000000000003</v>
      </c>
    </row>
    <row r="795" spans="1:2">
      <c r="A795" s="105">
        <v>46051</v>
      </c>
      <c r="B795" s="111">
        <v>0.70909999999999995</v>
      </c>
    </row>
    <row r="796" spans="1:2">
      <c r="A796" s="105">
        <v>46052</v>
      </c>
      <c r="B796" s="111">
        <v>0.70040000000000002</v>
      </c>
    </row>
    <row r="797" spans="1:2">
      <c r="A797" s="105">
        <v>46055</v>
      </c>
      <c r="B797" s="111">
        <v>0.69420000000000004</v>
      </c>
    </row>
    <row r="798" spans="1:2">
      <c r="A798" s="105">
        <v>46056</v>
      </c>
      <c r="B798" s="111">
        <v>0.70099999999999996</v>
      </c>
    </row>
    <row r="799" spans="1:2">
      <c r="A799" s="105">
        <v>46057</v>
      </c>
      <c r="B799" s="111">
        <v>0.70240000000000002</v>
      </c>
    </row>
    <row r="800" spans="1:2">
      <c r="A800" s="105">
        <v>46058</v>
      </c>
      <c r="B800" s="111">
        <v>0.69720000000000004</v>
      </c>
    </row>
    <row r="801" spans="1:2">
      <c r="A801" s="105">
        <v>46059</v>
      </c>
      <c r="B801" s="111">
        <v>0.69440000000000002</v>
      </c>
    </row>
    <row r="802" spans="1:2">
      <c r="A802" s="105">
        <v>46062</v>
      </c>
      <c r="B802" s="111">
        <v>0.70250000000000001</v>
      </c>
    </row>
    <row r="803" spans="1:2">
      <c r="A803" s="105">
        <v>46063</v>
      </c>
      <c r="B803" s="111">
        <v>0.70750000000000002</v>
      </c>
    </row>
    <row r="804" spans="1:2">
      <c r="A804" s="105">
        <v>46064</v>
      </c>
      <c r="B804" s="111">
        <v>0.71120000000000005</v>
      </c>
    </row>
    <row r="805" spans="1:2">
      <c r="A805" s="105">
        <v>46065</v>
      </c>
      <c r="B805" s="111">
        <v>0.71160000000000001</v>
      </c>
    </row>
    <row r="806" spans="1:2">
      <c r="A806" s="105">
        <v>46066</v>
      </c>
      <c r="B806" s="111">
        <v>0.70860000000000001</v>
      </c>
    </row>
    <row r="807" spans="1:2">
      <c r="A807" s="105">
        <v>46069</v>
      </c>
      <c r="B807" s="111">
        <v>0.7087</v>
      </c>
    </row>
    <row r="808" spans="1:2">
      <c r="A808" s="105">
        <v>46070</v>
      </c>
      <c r="B808" s="111">
        <v>0.70689999999999997</v>
      </c>
    </row>
    <row r="809" spans="1:2">
      <c r="A809" s="105">
        <v>46071</v>
      </c>
      <c r="B809" s="111">
        <v>0.70699999999999996</v>
      </c>
    </row>
    <row r="810" spans="1:2">
      <c r="A810" s="105">
        <v>46072</v>
      </c>
      <c r="B810" s="111">
        <v>0.70509999999999995</v>
      </c>
    </row>
    <row r="811" spans="1:2">
      <c r="A811" s="105">
        <v>46073</v>
      </c>
      <c r="B811" s="111">
        <v>0.70330000000000004</v>
      </c>
    </row>
    <row r="812" spans="1:2">
      <c r="A812" s="105">
        <v>46076</v>
      </c>
      <c r="B812" s="111">
        <v>0.70709999999999995</v>
      </c>
    </row>
    <row r="813" spans="1:2">
      <c r="A813" s="105">
        <v>46077</v>
      </c>
      <c r="B813" s="111">
        <v>0.70599999999999996</v>
      </c>
    </row>
    <row r="814" spans="1:2">
      <c r="A814" s="105">
        <v>46078</v>
      </c>
      <c r="B814" s="111">
        <v>0.7107</v>
      </c>
    </row>
    <row r="815" spans="1:2">
      <c r="A815" s="105">
        <v>46079</v>
      </c>
      <c r="B815" s="111">
        <v>0.7127</v>
      </c>
    </row>
    <row r="816" spans="1:2">
      <c r="A816" s="105">
        <v>46080</v>
      </c>
      <c r="B816" s="111">
        <v>0.71260000000000001</v>
      </c>
    </row>
    <row r="817" spans="1:2">
      <c r="A817" s="105">
        <v>46083</v>
      </c>
      <c r="B817" s="111">
        <v>0.70940000000000003</v>
      </c>
    </row>
    <row r="818" spans="1:2">
      <c r="A818" s="105">
        <v>46084</v>
      </c>
      <c r="B818" s="111">
        <v>0.71040000000000003</v>
      </c>
    </row>
    <row r="819" spans="1:2">
      <c r="A819" s="105">
        <v>46085</v>
      </c>
      <c r="B819" s="111">
        <v>0.6996</v>
      </c>
    </row>
    <row r="820" spans="1:2">
      <c r="A820" s="105">
        <v>46086</v>
      </c>
      <c r="B820" s="111">
        <v>0.70530000000000004</v>
      </c>
    </row>
    <row r="821" spans="1:2">
      <c r="A821" s="105">
        <v>46087</v>
      </c>
      <c r="B821" s="111">
        <v>0.70289999999999997</v>
      </c>
    </row>
    <row r="822" spans="1:2">
      <c r="A822" s="105">
        <v>46090</v>
      </c>
      <c r="B822" s="111">
        <v>0.69930000000000003</v>
      </c>
    </row>
    <row r="823" spans="1:2">
      <c r="A823" s="105">
        <v>46091</v>
      </c>
      <c r="B823" s="111">
        <v>0.70630000000000004</v>
      </c>
    </row>
    <row r="824" spans="1:2">
      <c r="A824" s="105">
        <v>46092</v>
      </c>
      <c r="B824" s="111">
        <v>0.71830000000000005</v>
      </c>
    </row>
    <row r="825" spans="1:2">
      <c r="A825" s="105">
        <v>46093</v>
      </c>
      <c r="B825" s="111">
        <v>0.71250000000000002</v>
      </c>
    </row>
    <row r="826" spans="1:2">
      <c r="A826" s="105">
        <v>46094</v>
      </c>
      <c r="B826" s="111">
        <v>0.70630000000000004</v>
      </c>
    </row>
    <row r="827" spans="1:2">
      <c r="A827" s="105">
        <v>46097</v>
      </c>
      <c r="B827" s="111">
        <v>0.70069999999999999</v>
      </c>
    </row>
    <row r="828" spans="1:2">
      <c r="A828" s="105">
        <v>46098</v>
      </c>
      <c r="B828" s="111">
        <v>0.70740000000000003</v>
      </c>
    </row>
    <row r="829" spans="1:2">
      <c r="A829" s="105">
        <v>46099</v>
      </c>
      <c r="B829" s="111">
        <v>0.71150000000000002</v>
      </c>
    </row>
    <row r="830" spans="1:2">
      <c r="A830" s="105">
        <v>46100</v>
      </c>
      <c r="B830" s="111">
        <v>0.70379999999999998</v>
      </c>
    </row>
    <row r="831" spans="1:2">
      <c r="A831" s="105">
        <v>46101</v>
      </c>
      <c r="B831" s="111">
        <v>0.70879999999999999</v>
      </c>
    </row>
    <row r="832" spans="1:2">
      <c r="A832" s="105">
        <v>46104</v>
      </c>
      <c r="B832" s="111">
        <v>0.69799999999999995</v>
      </c>
    </row>
    <row r="833" spans="1:2">
      <c r="A833" s="105">
        <v>46105</v>
      </c>
      <c r="B833" s="111">
        <v>0.6966</v>
      </c>
    </row>
    <row r="834" spans="1:2">
      <c r="A834" s="105">
        <v>46106</v>
      </c>
      <c r="B834" s="111">
        <v>0.69740000000000002</v>
      </c>
    </row>
    <row r="835" spans="1:2">
      <c r="A835" s="105">
        <v>46107</v>
      </c>
      <c r="B835" s="111">
        <v>0.69550000000000001</v>
      </c>
    </row>
    <row r="836" spans="1:2">
      <c r="A836" s="105">
        <v>46108</v>
      </c>
      <c r="B836" s="111">
        <v>0.69110000000000005</v>
      </c>
    </row>
    <row r="837" spans="1:2">
      <c r="A837" s="105">
        <v>46111</v>
      </c>
      <c r="B837" s="111">
        <v>0.68689999999999996</v>
      </c>
    </row>
    <row r="838" spans="1:2">
      <c r="A838" s="105">
        <v>46112</v>
      </c>
      <c r="B838" s="111">
        <v>0.6845</v>
      </c>
    </row>
    <row r="839" spans="1:2">
      <c r="A839" s="105">
        <v>46113</v>
      </c>
      <c r="B839" s="111">
        <v>0.69040000000000001</v>
      </c>
    </row>
    <row r="840" spans="1:2">
      <c r="A840" s="105">
        <v>46114</v>
      </c>
      <c r="B840" s="111">
        <v>0.68789999999999996</v>
      </c>
    </row>
    <row r="841" spans="1:2">
      <c r="A841" s="105">
        <v>46119</v>
      </c>
      <c r="B841" s="111">
        <v>0.69159999999999999</v>
      </c>
    </row>
    <row r="842" spans="1:2">
      <c r="A842" s="105">
        <v>46120</v>
      </c>
      <c r="B842" s="111">
        <v>0.70720000000000005</v>
      </c>
    </row>
    <row r="843" spans="1:2">
      <c r="A843" s="105">
        <v>46121</v>
      </c>
      <c r="B843" s="111">
        <v>0.7036</v>
      </c>
    </row>
    <row r="844" spans="1:2">
      <c r="A844" s="105">
        <v>46122</v>
      </c>
      <c r="B844" s="111">
        <v>0.70709999999999995</v>
      </c>
    </row>
    <row r="845" spans="1:2">
      <c r="A845" s="105">
        <v>46125</v>
      </c>
      <c r="B845" s="111">
        <v>0.70399999999999996</v>
      </c>
    </row>
    <row r="846" spans="1:2">
      <c r="A846" s="105">
        <v>46126</v>
      </c>
      <c r="B846" s="111">
        <v>0.70830000000000004</v>
      </c>
    </row>
    <row r="847" spans="1:2">
      <c r="A847" s="105">
        <v>46127</v>
      </c>
      <c r="B847" s="111">
        <v>0.71379999999999999</v>
      </c>
    </row>
    <row r="848" spans="1:2">
      <c r="A848" s="105">
        <v>46128</v>
      </c>
      <c r="B848" s="111">
        <v>0.71889999999999998</v>
      </c>
    </row>
    <row r="849" spans="1:2">
      <c r="A849" s="105">
        <v>46129</v>
      </c>
      <c r="B849" s="111">
        <v>0.71699999999999997</v>
      </c>
    </row>
    <row r="850" spans="1:2">
      <c r="A850" s="105">
        <v>46132</v>
      </c>
      <c r="B850" s="111">
        <v>0.71489999999999998</v>
      </c>
    </row>
    <row r="851" spans="1:2">
      <c r="A851" s="105">
        <v>46133</v>
      </c>
      <c r="B851" s="111">
        <v>0.71660000000000001</v>
      </c>
    </row>
    <row r="852" spans="1:2">
      <c r="A852" s="105">
        <v>46134</v>
      </c>
      <c r="B852" s="111">
        <v>0.71699999999999997</v>
      </c>
    </row>
    <row r="853" spans="1:2">
      <c r="A853" s="105">
        <v>46135</v>
      </c>
      <c r="B853" s="111">
        <v>0.71550000000000002</v>
      </c>
    </row>
    <row r="854" spans="1:2">
      <c r="A854" s="105">
        <v>46136</v>
      </c>
      <c r="B854" s="111">
        <v>0.71279999999999999</v>
      </c>
    </row>
    <row r="855" spans="1:2">
      <c r="A855" s="105">
        <v>46140</v>
      </c>
      <c r="B855" s="111">
        <v>0.71719999999999995</v>
      </c>
    </row>
    <row r="856" spans="1:2">
      <c r="A856" s="105">
        <v>46141</v>
      </c>
      <c r="B856" s="111">
        <v>0.71619999999999995</v>
      </c>
    </row>
    <row r="857" spans="1:2">
      <c r="A857" s="105">
        <v>46142</v>
      </c>
      <c r="B857" s="111">
        <v>0.71130000000000004</v>
      </c>
    </row>
    <row r="858" spans="1:2">
      <c r="A858" s="105">
        <v>46143</v>
      </c>
      <c r="B858" s="111">
        <v>0.71909999999999996</v>
      </c>
    </row>
    <row r="859" spans="1:2">
      <c r="A859" s="105">
        <v>46146</v>
      </c>
      <c r="B859" s="111">
        <v>0.7208</v>
      </c>
    </row>
    <row r="860" spans="1:2">
      <c r="A860" s="105">
        <v>46147</v>
      </c>
      <c r="B860" s="111">
        <v>0.71409999999999996</v>
      </c>
    </row>
    <row r="861" spans="1:2">
      <c r="A861" s="105">
        <v>46148</v>
      </c>
      <c r="B861" s="111">
        <v>0.7248</v>
      </c>
    </row>
    <row r="862" spans="1:2">
      <c r="A862" s="105">
        <v>46149</v>
      </c>
      <c r="B862" s="111">
        <v>0.72470000000000001</v>
      </c>
    </row>
    <row r="863" spans="1:2">
      <c r="A863" s="105">
        <v>46150</v>
      </c>
      <c r="B863" s="111">
        <v>0.72250000000000003</v>
      </c>
    </row>
    <row r="864" spans="1:2">
      <c r="A864" s="105">
        <v>46153</v>
      </c>
      <c r="B864" s="111">
        <v>0.72309999999999997</v>
      </c>
    </row>
    <row r="865" spans="1:2">
      <c r="A865" s="105">
        <v>46154</v>
      </c>
      <c r="B865" s="111">
        <v>0.72309999999999997</v>
      </c>
    </row>
    <row r="866" spans="1:2">
      <c r="A866" s="105">
        <v>46155</v>
      </c>
      <c r="B866" s="111">
        <v>0.72399999999999998</v>
      </c>
    </row>
    <row r="867" spans="1:2">
      <c r="A867" s="105">
        <v>46156</v>
      </c>
      <c r="B867" s="111">
        <v>0.7258</v>
      </c>
    </row>
    <row r="868" spans="1:2">
      <c r="A868" s="105">
        <v>46157</v>
      </c>
      <c r="B868" s="111">
        <v>0.71599999999999997</v>
      </c>
    </row>
    <row r="869" spans="1:2">
      <c r="A869" s="105">
        <v>46160</v>
      </c>
      <c r="B869" s="111">
        <v>0.71319999999999995</v>
      </c>
    </row>
    <row r="870" spans="1:2">
      <c r="A870" s="105">
        <v>46161</v>
      </c>
      <c r="B870" s="111">
        <v>0.71319999999999995</v>
      </c>
    </row>
    <row r="871" spans="1:2">
      <c r="A871" s="105">
        <v>46162</v>
      </c>
      <c r="B871" s="111">
        <v>0.71030000000000004</v>
      </c>
    </row>
    <row r="872" spans="1:2">
      <c r="A872" s="105">
        <v>46163</v>
      </c>
      <c r="B872" s="111">
        <v>0.71250000000000002</v>
      </c>
    </row>
    <row r="873" spans="1:2">
      <c r="A873" s="105">
        <v>46164</v>
      </c>
      <c r="B873" s="111">
        <v>0.71389999999999998</v>
      </c>
    </row>
    <row r="874" spans="1:2">
      <c r="A874" s="105">
        <v>46167</v>
      </c>
      <c r="B874" s="111">
        <v>0.71660000000000001</v>
      </c>
    </row>
    <row r="875" spans="1:2">
      <c r="A875" s="105">
        <v>46168</v>
      </c>
      <c r="B875" s="111">
        <v>0.71599999999999997</v>
      </c>
    </row>
    <row r="876" spans="1:2">
      <c r="A876" s="105">
        <v>46169</v>
      </c>
      <c r="B876" s="111">
        <v>0.71560000000000001</v>
      </c>
    </row>
    <row r="877" spans="1:2">
      <c r="A877" s="105">
        <v>46170</v>
      </c>
      <c r="B877" s="111">
        <v>0.7117</v>
      </c>
    </row>
    <row r="878" spans="1:2">
      <c r="A878" s="105">
        <v>46171</v>
      </c>
      <c r="B878" s="111">
        <v>0.71640000000000004</v>
      </c>
    </row>
    <row r="879" spans="1:2">
      <c r="A879" s="105">
        <v>46174</v>
      </c>
      <c r="B879" s="111">
        <v>0.71879999999999999</v>
      </c>
    </row>
    <row r="880" spans="1:2">
      <c r="A880" s="105">
        <v>46175</v>
      </c>
      <c r="B880" s="111">
        <v>0.71630000000000005</v>
      </c>
    </row>
    <row r="881" spans="1:2">
      <c r="A881" s="105">
        <v>46176</v>
      </c>
      <c r="B881" s="111">
        <v>0.71640000000000004</v>
      </c>
    </row>
    <row r="882" spans="1:2">
      <c r="A882" s="105">
        <v>46177</v>
      </c>
      <c r="B882" s="111">
        <v>0.71309999999999996</v>
      </c>
    </row>
    <row r="883" spans="1:2">
      <c r="A883" s="105">
        <v>46178</v>
      </c>
      <c r="B883" s="111">
        <v>0.71209999999999996</v>
      </c>
    </row>
    <row r="884" spans="1:2">
      <c r="A884" s="105">
        <v>46182</v>
      </c>
      <c r="B884" s="111">
        <v>0.70579999999999998</v>
      </c>
    </row>
    <row r="885" spans="1:2">
      <c r="A885" s="105">
        <v>46183</v>
      </c>
      <c r="B885" s="111">
        <v>0.70199999999999996</v>
      </c>
    </row>
    <row r="886" spans="1:2">
      <c r="A886" s="105">
        <v>46184</v>
      </c>
      <c r="B886" s="111">
        <v>0.70079999999999998</v>
      </c>
    </row>
    <row r="887" spans="1:2">
      <c r="A887" s="105">
        <v>46185</v>
      </c>
      <c r="B887" s="111">
        <v>0.70289999999999997</v>
      </c>
    </row>
    <row r="888" spans="1:2">
      <c r="A888" s="105">
        <v>46188</v>
      </c>
      <c r="B888" s="111">
        <v>0.70809999999999995</v>
      </c>
    </row>
    <row r="889" spans="1:2">
      <c r="A889" s="105">
        <v>46189</v>
      </c>
      <c r="B889" s="101">
        <v>0.70479999999999998</v>
      </c>
    </row>
    <row r="890" spans="1:2">
      <c r="A890" s="105">
        <v>46190</v>
      </c>
      <c r="B890" s="101">
        <v>0.70589999999999997</v>
      </c>
    </row>
    <row r="891" spans="1:2">
      <c r="A891" s="105">
        <v>46191</v>
      </c>
      <c r="B891" s="101">
        <v>0.70309999999999995</v>
      </c>
    </row>
    <row r="892" spans="1:2">
      <c r="A892" s="105">
        <v>46192</v>
      </c>
      <c r="B892" s="101">
        <v>0.70050000000000001</v>
      </c>
    </row>
    <row r="893" spans="1:2">
      <c r="A893" s="105">
        <v>46195</v>
      </c>
      <c r="B893" s="101">
        <v>0.70040000000000002</v>
      </c>
    </row>
    <row r="894" spans="1:2">
      <c r="A894" s="105">
        <v>46196</v>
      </c>
      <c r="B894" s="101">
        <v>0.69640000000000002</v>
      </c>
    </row>
    <row r="895" spans="1:2">
      <c r="A895" s="105">
        <v>46197</v>
      </c>
      <c r="B895" s="101">
        <v>0.69130000000000003</v>
      </c>
    </row>
    <row r="896" spans="1:2">
      <c r="A896" s="105">
        <v>46198</v>
      </c>
      <c r="B896" s="101">
        <v>0.68920000000000003</v>
      </c>
    </row>
    <row r="897" spans="1:2">
      <c r="A897" s="105">
        <v>46199</v>
      </c>
      <c r="B897" s="101">
        <v>0.68940000000000001</v>
      </c>
    </row>
    <row r="898" spans="1:2">
      <c r="A898" s="105">
        <v>46202</v>
      </c>
      <c r="B898" s="101">
        <v>0.68959999999999999</v>
      </c>
    </row>
    <row r="899" spans="1:2">
      <c r="A899" s="105">
        <v>46203</v>
      </c>
      <c r="B899" s="101">
        <v>0.68689999999999996</v>
      </c>
    </row>
    <row r="900" spans="1:2">
      <c r="A900" s="105">
        <v>46204</v>
      </c>
      <c r="B900" s="101">
        <v>0.6895</v>
      </c>
    </row>
    <row r="901" spans="1:2">
      <c r="A901" s="105">
        <v>46205</v>
      </c>
      <c r="B901" s="101">
        <v>0.68940000000000001</v>
      </c>
    </row>
    <row r="902" spans="1:2">
      <c r="A902" s="105">
        <v>46206</v>
      </c>
      <c r="B902" s="101">
        <v>0.69410000000000005</v>
      </c>
    </row>
    <row r="903" spans="1:2">
      <c r="A903" s="105">
        <v>46209</v>
      </c>
      <c r="B903" s="101">
        <v>0.69310000000000005</v>
      </c>
    </row>
    <row r="904" spans="1:2">
      <c r="A904" s="105">
        <v>46210</v>
      </c>
      <c r="B904" s="101">
        <v>0.69420000000000004</v>
      </c>
    </row>
    <row r="905" spans="1:2">
      <c r="A905" s="105">
        <v>46211</v>
      </c>
      <c r="B905" s="101">
        <v>0.69430000000000003</v>
      </c>
    </row>
    <row r="906" spans="1:2">
      <c r="A906" s="105">
        <v>46212</v>
      </c>
      <c r="B906" s="101">
        <v>0.69410000000000005</v>
      </c>
    </row>
    <row r="907" spans="1:2">
      <c r="A907" s="105">
        <v>46213</v>
      </c>
      <c r="B907" s="101">
        <v>0.69489999999999996</v>
      </c>
    </row>
    <row r="908" spans="1:2">
      <c r="A908" s="105">
        <v>46216</v>
      </c>
      <c r="B908" s="101">
        <v>0.69299999999999995</v>
      </c>
    </row>
    <row r="909" spans="1:2">
      <c r="A909" s="105">
        <v>46217</v>
      </c>
      <c r="B909" s="101">
        <v>0.69350000000000001</v>
      </c>
    </row>
    <row r="910" spans="1:2">
      <c r="A910" s="105">
        <v>46218</v>
      </c>
      <c r="B910" s="101">
        <v>0.69879999999999998</v>
      </c>
    </row>
    <row r="911" spans="1:2">
      <c r="A911" s="105">
        <v>46219</v>
      </c>
      <c r="B911" s="101">
        <v>0.69969999999999999</v>
      </c>
    </row>
    <row r="912" spans="1:2">
      <c r="A912" s="105">
        <v>46220</v>
      </c>
      <c r="B912" s="101">
        <v>0.69799999999999995</v>
      </c>
    </row>
    <row r="913" spans="1:2">
      <c r="A913" s="105">
        <v>46223</v>
      </c>
      <c r="B913" s="101">
        <v>0.69910000000000005</v>
      </c>
    </row>
    <row r="914" spans="1:2">
      <c r="A914" s="105">
        <v>46224</v>
      </c>
      <c r="B914" s="101">
        <v>0.70089999999999997</v>
      </c>
    </row>
  </sheetData>
  <hyperlinks>
    <hyperlink ref="B21" r:id="rId1" xr:uid="{9B19A205-A7A6-425D-9117-FB198B61AE28}"/>
    <hyperlink ref="D5" r:id="rId2" xr:uid="{A54CFAFD-FB3C-4914-A990-CBA57019A3A7}"/>
    <hyperlink ref="G21" r:id="rId3" display="http://www.abs.gov.au/" xr:uid="{00000000-0004-0000-0000-000000000000}"/>
    <hyperlink ref="D3" r:id="rId4" xr:uid="{AD82ACFC-1DCC-42EF-B030-427911CEB857}"/>
  </hyperlinks>
  <pageMargins left="0.7" right="0.7" top="0.75" bottom="0.75" header="0.3" footer="0.3"/>
  <pageSetup paperSize="9" orientation="portrait" r:id="rId5"/>
  <headerFooter>
    <oddHeader>&amp;C&amp;"Aptos"&amp;10&amp;KFF0000 OFFICIAL&amp;1#_x000D_</oddHeader>
  </headerFooter>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5BA7D-0E4D-422B-A0B0-E400C801E99B}">
  <dimension ref="A1:N115"/>
  <sheetViews>
    <sheetView zoomScale="75" zoomScaleNormal="75" workbookViewId="0">
      <selection activeCell="A78" sqref="A78:H87"/>
    </sheetView>
  </sheetViews>
  <sheetFormatPr defaultColWidth="8.75" defaultRowHeight="14.25"/>
  <cols>
    <col min="1" max="1" width="33" customWidth="1"/>
    <col min="2" max="2" width="13.125" customWidth="1"/>
    <col min="13" max="13" width="11.5" customWidth="1"/>
  </cols>
  <sheetData>
    <row r="1" spans="1:14" ht="20.25">
      <c r="A1" s="44" t="s">
        <v>433</v>
      </c>
    </row>
    <row r="2" spans="1:14">
      <c r="A2" s="72">
        <v>46198</v>
      </c>
    </row>
    <row r="3" spans="1:14">
      <c r="A3" s="40" t="s">
        <v>434</v>
      </c>
    </row>
    <row r="5" spans="1:14">
      <c r="A5" s="73" t="s">
        <v>435</v>
      </c>
    </row>
    <row r="6" spans="1:14" ht="20.25" thickBot="1">
      <c r="A6" s="46" t="s">
        <v>436</v>
      </c>
      <c r="B6" s="46"/>
      <c r="C6" s="46"/>
      <c r="D6" s="46"/>
      <c r="E6" s="47"/>
      <c r="F6" s="48"/>
      <c r="G6" s="48"/>
      <c r="H6" s="48"/>
      <c r="I6" s="48"/>
      <c r="J6" s="48"/>
      <c r="K6" s="48"/>
    </row>
    <row r="7" spans="1:14" ht="15" thickTop="1">
      <c r="A7" s="48" t="s">
        <v>437</v>
      </c>
      <c r="B7" s="48"/>
      <c r="C7" s="48"/>
      <c r="D7" s="48"/>
      <c r="E7" s="48"/>
      <c r="F7" s="48"/>
      <c r="G7" s="48"/>
      <c r="H7" s="48"/>
      <c r="I7" s="49"/>
      <c r="J7" s="48"/>
      <c r="K7" s="48"/>
    </row>
    <row r="8" spans="1:14">
      <c r="A8" s="48" t="s">
        <v>438</v>
      </c>
      <c r="B8" s="48"/>
      <c r="C8" s="48"/>
      <c r="D8" s="48"/>
      <c r="E8" s="48"/>
      <c r="F8" s="48"/>
      <c r="G8" s="48"/>
      <c r="H8" s="48"/>
      <c r="I8" s="49"/>
      <c r="J8" s="48"/>
      <c r="K8" s="48"/>
    </row>
    <row r="9" spans="1:14">
      <c r="A9" s="48" t="s">
        <v>439</v>
      </c>
      <c r="B9" s="48"/>
      <c r="C9" s="48"/>
      <c r="D9" s="48"/>
      <c r="E9" s="48"/>
      <c r="F9" s="48"/>
      <c r="G9" s="48"/>
      <c r="H9" s="48"/>
      <c r="I9" s="48"/>
      <c r="J9" s="48"/>
      <c r="K9" s="48"/>
    </row>
    <row r="10" spans="1:14">
      <c r="A10" s="48" t="s">
        <v>440</v>
      </c>
      <c r="B10" s="48"/>
      <c r="C10" s="48"/>
      <c r="D10" s="48"/>
      <c r="E10" s="48"/>
      <c r="F10" s="48"/>
      <c r="G10" s="48"/>
      <c r="H10" s="48"/>
      <c r="I10" s="48"/>
      <c r="J10" s="48"/>
      <c r="K10" s="48"/>
    </row>
    <row r="11" spans="1:14">
      <c r="A11" s="48" t="s">
        <v>441</v>
      </c>
      <c r="B11" s="48"/>
      <c r="C11" s="48"/>
      <c r="D11" s="48"/>
      <c r="E11" s="48"/>
      <c r="F11" s="48"/>
      <c r="G11" s="48"/>
      <c r="H11" s="48"/>
      <c r="I11" s="48"/>
      <c r="J11" s="48"/>
      <c r="K11" s="48"/>
    </row>
    <row r="12" spans="1:14">
      <c r="A12" s="48"/>
      <c r="B12" s="48"/>
      <c r="C12" s="48"/>
      <c r="D12" s="48"/>
      <c r="E12" s="48"/>
      <c r="F12" s="48"/>
      <c r="G12" s="48"/>
      <c r="H12" s="48"/>
      <c r="I12" s="48"/>
      <c r="J12" s="48"/>
      <c r="K12" s="48"/>
    </row>
    <row r="13" spans="1:14" ht="15.75" thickBot="1">
      <c r="A13" s="50" t="s">
        <v>442</v>
      </c>
      <c r="B13" s="50"/>
      <c r="C13" s="50"/>
      <c r="D13" s="51"/>
      <c r="E13" s="52">
        <v>2</v>
      </c>
      <c r="F13" s="52">
        <v>3</v>
      </c>
      <c r="G13" s="52">
        <v>4</v>
      </c>
      <c r="H13" s="52">
        <v>5</v>
      </c>
      <c r="I13" s="52">
        <v>6</v>
      </c>
      <c r="J13" s="52">
        <v>7</v>
      </c>
      <c r="K13" s="52">
        <v>8</v>
      </c>
    </row>
    <row r="14" spans="1:14" s="42" customFormat="1" ht="90.75" thickBot="1">
      <c r="A14" s="45" t="s">
        <v>443</v>
      </c>
      <c r="B14" s="45" t="s">
        <v>444</v>
      </c>
      <c r="C14" s="45" t="s">
        <v>445</v>
      </c>
      <c r="D14" s="45" t="s">
        <v>425</v>
      </c>
      <c r="E14" s="45" t="s">
        <v>446</v>
      </c>
      <c r="F14" s="45" t="s">
        <v>447</v>
      </c>
      <c r="G14" s="45" t="s">
        <v>448</v>
      </c>
      <c r="H14" s="45" t="s">
        <v>449</v>
      </c>
      <c r="I14" s="45" t="s">
        <v>450</v>
      </c>
      <c r="J14" s="45" t="s">
        <v>451</v>
      </c>
      <c r="K14" s="45" t="s">
        <v>452</v>
      </c>
      <c r="M14" s="94" t="s">
        <v>453</v>
      </c>
      <c r="N14" s="95" t="s">
        <v>454</v>
      </c>
    </row>
    <row r="15" spans="1:14" ht="15" thickBot="1">
      <c r="A15" s="57" t="s">
        <v>94</v>
      </c>
      <c r="B15" s="57" t="s">
        <v>455</v>
      </c>
      <c r="C15" s="57" t="s">
        <v>456</v>
      </c>
      <c r="D15" s="57" t="s">
        <v>457</v>
      </c>
      <c r="E15" s="55" t="s">
        <v>458</v>
      </c>
      <c r="F15" s="56">
        <v>2914</v>
      </c>
      <c r="G15" s="56">
        <v>2777</v>
      </c>
      <c r="H15" s="56">
        <v>2645</v>
      </c>
      <c r="I15" s="56">
        <v>2523</v>
      </c>
      <c r="J15" s="56">
        <v>2412</v>
      </c>
      <c r="K15" s="56">
        <v>2309</v>
      </c>
      <c r="M15" s="56">
        <f>G15*(B78+E78)/(B78+C78+D78+E78)</f>
        <v>2429.768566620306</v>
      </c>
    </row>
    <row r="16" spans="1:14" ht="15" thickBot="1">
      <c r="A16" s="57" t="s">
        <v>93</v>
      </c>
      <c r="B16" s="57" t="s">
        <v>455</v>
      </c>
      <c r="C16" s="57" t="s">
        <v>456</v>
      </c>
      <c r="D16" s="57" t="s">
        <v>457</v>
      </c>
      <c r="E16" s="53" t="s">
        <v>458</v>
      </c>
      <c r="F16" s="54">
        <v>1764</v>
      </c>
      <c r="G16" s="54">
        <v>1681</v>
      </c>
      <c r="H16" s="54">
        <v>1602</v>
      </c>
      <c r="I16" s="54">
        <v>1528</v>
      </c>
      <c r="J16" s="54">
        <v>1460</v>
      </c>
      <c r="K16" s="54">
        <v>1398</v>
      </c>
      <c r="M16" s="54">
        <f>G16*(B79+E79)/(B79+C79+D79+E79)</f>
        <v>1438.6075838829315</v>
      </c>
    </row>
    <row r="17" spans="1:14" ht="15" thickBot="1">
      <c r="A17" s="100" t="s">
        <v>96</v>
      </c>
      <c r="B17" s="57" t="s">
        <v>455</v>
      </c>
      <c r="C17" s="57"/>
      <c r="D17" s="57"/>
      <c r="E17" s="53"/>
      <c r="F17" s="54">
        <v>2022</v>
      </c>
      <c r="G17" s="54">
        <v>2022</v>
      </c>
      <c r="H17" s="54">
        <v>2012</v>
      </c>
      <c r="I17" s="54">
        <v>2012</v>
      </c>
      <c r="J17" s="54">
        <v>2015</v>
      </c>
      <c r="K17" s="54">
        <v>2019</v>
      </c>
      <c r="M17" s="54">
        <f>G17*(B81+E81)/(B81+C81+D81+E81)</f>
        <v>1809.7496612755904</v>
      </c>
      <c r="N17" s="73" t="s">
        <v>459</v>
      </c>
    </row>
    <row r="18" spans="1:14" ht="15" thickBot="1">
      <c r="A18" s="57" t="s">
        <v>95</v>
      </c>
      <c r="B18" s="57" t="s">
        <v>455</v>
      </c>
      <c r="C18" s="57" t="s">
        <v>456</v>
      </c>
      <c r="D18" s="57" t="s">
        <v>457</v>
      </c>
      <c r="E18" s="55" t="s">
        <v>458</v>
      </c>
      <c r="F18" s="56">
        <v>2497</v>
      </c>
      <c r="G18" s="56">
        <v>2433</v>
      </c>
      <c r="H18" s="56">
        <v>2370</v>
      </c>
      <c r="I18" s="56">
        <v>2308</v>
      </c>
      <c r="J18" s="56">
        <v>2250</v>
      </c>
      <c r="K18" s="56">
        <v>2194</v>
      </c>
      <c r="M18" s="56">
        <f t="shared" ref="M18:M24" si="0">G18*(B81+E81)/(B81+C81+D81+E81)</f>
        <v>2177.6067882707771</v>
      </c>
    </row>
    <row r="19" spans="1:14" ht="15" thickBot="1">
      <c r="A19" s="57" t="s">
        <v>460</v>
      </c>
      <c r="B19" s="57" t="s">
        <v>455</v>
      </c>
      <c r="C19" s="57" t="s">
        <v>456</v>
      </c>
      <c r="D19" s="57" t="s">
        <v>457</v>
      </c>
      <c r="E19" s="53" t="s">
        <v>458</v>
      </c>
      <c r="F19" s="54">
        <v>1621</v>
      </c>
      <c r="G19" s="54">
        <v>1381</v>
      </c>
      <c r="H19" s="54">
        <v>1187</v>
      </c>
      <c r="I19" s="54">
        <v>1066</v>
      </c>
      <c r="J19" s="54">
        <v>989</v>
      </c>
      <c r="K19" s="54">
        <v>930</v>
      </c>
      <c r="M19" s="54">
        <f t="shared" si="0"/>
        <v>1302.8301886792453</v>
      </c>
    </row>
    <row r="20" spans="1:14" ht="15" thickBot="1">
      <c r="A20" s="57" t="s">
        <v>461</v>
      </c>
      <c r="B20" s="57" t="s">
        <v>455</v>
      </c>
      <c r="C20" s="57" t="s">
        <v>456</v>
      </c>
      <c r="D20" s="57" t="s">
        <v>457</v>
      </c>
      <c r="E20" s="55" t="s">
        <v>458</v>
      </c>
      <c r="F20" s="56">
        <v>1540</v>
      </c>
      <c r="G20" s="56">
        <v>1424</v>
      </c>
      <c r="H20" s="56">
        <v>1332</v>
      </c>
      <c r="I20" s="56">
        <v>1264</v>
      </c>
      <c r="J20" s="56">
        <v>1208</v>
      </c>
      <c r="K20" s="56">
        <v>1180</v>
      </c>
      <c r="M20" s="56">
        <f t="shared" si="0"/>
        <v>1381.3780305297817</v>
      </c>
    </row>
    <row r="21" spans="1:14" ht="15" thickBot="1">
      <c r="A21" s="100" t="s">
        <v>97</v>
      </c>
      <c r="B21" s="57"/>
      <c r="C21" s="57"/>
      <c r="D21" s="57"/>
      <c r="E21" s="53"/>
      <c r="F21" s="54">
        <f>(6-4)/(8-4)*(F23-F20)+F20</f>
        <v>2002</v>
      </c>
      <c r="G21" s="54">
        <f t="shared" ref="G21:K21" si="1">(6-4)/(8-4)*(G23-G20)+G20</f>
        <v>1852</v>
      </c>
      <c r="H21" s="54">
        <f t="shared" si="1"/>
        <v>1738</v>
      </c>
      <c r="I21" s="54">
        <f t="shared" si="1"/>
        <v>1648</v>
      </c>
      <c r="J21" s="54">
        <f t="shared" si="1"/>
        <v>1576</v>
      </c>
      <c r="K21" s="54">
        <f t="shared" si="1"/>
        <v>1538</v>
      </c>
      <c r="M21" s="54">
        <f t="shared" si="0"/>
        <v>1807.1355992328754</v>
      </c>
      <c r="N21" s="73" t="s">
        <v>462</v>
      </c>
    </row>
    <row r="22" spans="1:14" ht="15" thickBot="1">
      <c r="A22" s="100" t="s">
        <v>98</v>
      </c>
      <c r="B22" s="57"/>
      <c r="C22" s="57"/>
      <c r="D22" s="57"/>
      <c r="E22" s="55"/>
      <c r="F22" s="56">
        <f>(7-4)/(8-4)*(F23-F20)+F20</f>
        <v>2233</v>
      </c>
      <c r="G22" s="56">
        <f t="shared" ref="G22:K22" si="2">(7-4)/(8-4)*(G23-G20)+G20</f>
        <v>2066</v>
      </c>
      <c r="H22" s="56">
        <f t="shared" si="2"/>
        <v>1941</v>
      </c>
      <c r="I22" s="56">
        <f t="shared" si="2"/>
        <v>1840</v>
      </c>
      <c r="J22" s="56">
        <f t="shared" si="2"/>
        <v>1760</v>
      </c>
      <c r="K22" s="56">
        <f t="shared" si="2"/>
        <v>1717</v>
      </c>
      <c r="M22" s="56">
        <f t="shared" si="0"/>
        <v>2021.8461122751007</v>
      </c>
      <c r="N22" s="73" t="s">
        <v>462</v>
      </c>
    </row>
    <row r="23" spans="1:14" ht="15" thickBot="1">
      <c r="A23" s="57" t="s">
        <v>99</v>
      </c>
      <c r="B23" s="57" t="s">
        <v>455</v>
      </c>
      <c r="C23" s="57" t="s">
        <v>456</v>
      </c>
      <c r="D23" s="57" t="s">
        <v>457</v>
      </c>
      <c r="E23" s="53" t="s">
        <v>458</v>
      </c>
      <c r="F23" s="54">
        <v>2464</v>
      </c>
      <c r="G23" s="54">
        <v>2280</v>
      </c>
      <c r="H23" s="54">
        <v>2144</v>
      </c>
      <c r="I23" s="54">
        <v>2032</v>
      </c>
      <c r="J23" s="54">
        <v>1944</v>
      </c>
      <c r="K23" s="54">
        <v>1896</v>
      </c>
      <c r="M23" s="54">
        <f t="shared" si="0"/>
        <v>2237.7777777777778</v>
      </c>
    </row>
    <row r="24" spans="1:14" ht="15" thickBot="1">
      <c r="A24" s="57" t="s">
        <v>463</v>
      </c>
      <c r="B24" s="57" t="s">
        <v>455</v>
      </c>
      <c r="C24" s="57" t="s">
        <v>456</v>
      </c>
      <c r="D24" s="57" t="s">
        <v>457</v>
      </c>
      <c r="E24" s="55" t="s">
        <v>458</v>
      </c>
      <c r="F24" s="56">
        <v>3248</v>
      </c>
      <c r="G24" s="56">
        <v>3112</v>
      </c>
      <c r="H24" s="56">
        <v>2981</v>
      </c>
      <c r="I24" s="56">
        <v>2860</v>
      </c>
      <c r="J24" s="56">
        <v>2745</v>
      </c>
      <c r="K24" s="56">
        <v>2638</v>
      </c>
      <c r="M24" s="56">
        <f t="shared" si="0"/>
        <v>3036.0975609756097</v>
      </c>
    </row>
    <row r="25" spans="1:14" ht="15" thickBot="1">
      <c r="A25" s="58" t="s">
        <v>464</v>
      </c>
      <c r="B25" s="58"/>
      <c r="C25" s="58"/>
      <c r="D25" s="58"/>
      <c r="E25" s="53"/>
      <c r="F25" s="54"/>
      <c r="G25" s="54"/>
      <c r="H25" s="54"/>
      <c r="I25" s="54"/>
      <c r="J25" s="54"/>
      <c r="K25" s="54"/>
      <c r="M25" s="54"/>
    </row>
    <row r="26" spans="1:14">
      <c r="A26" s="58" t="s">
        <v>465</v>
      </c>
      <c r="B26" s="58"/>
      <c r="C26" s="58"/>
      <c r="D26" s="58"/>
      <c r="E26" s="58"/>
      <c r="F26" s="58"/>
      <c r="G26" s="58"/>
      <c r="H26" s="59"/>
      <c r="I26" s="59"/>
      <c r="J26" s="59"/>
      <c r="K26" s="59"/>
    </row>
    <row r="27" spans="1:14">
      <c r="A27" s="58" t="s">
        <v>466</v>
      </c>
      <c r="B27" s="47"/>
      <c r="C27" s="47"/>
      <c r="D27" s="47"/>
      <c r="E27" s="47"/>
      <c r="F27" s="47"/>
      <c r="G27" s="47"/>
      <c r="H27" s="47"/>
      <c r="I27" s="47"/>
      <c r="J27" s="47"/>
      <c r="K27" s="47"/>
    </row>
    <row r="28" spans="1:14">
      <c r="A28" s="60" t="s">
        <v>467</v>
      </c>
      <c r="B28" s="61"/>
      <c r="C28" s="61"/>
      <c r="D28" s="47"/>
      <c r="E28" s="47"/>
      <c r="F28" s="47"/>
      <c r="G28" s="47"/>
      <c r="H28" s="47"/>
      <c r="I28" s="47"/>
      <c r="J28" s="47"/>
      <c r="K28" s="47"/>
    </row>
    <row r="29" spans="1:14">
      <c r="A29" s="62"/>
      <c r="B29" s="62"/>
      <c r="C29" s="62"/>
      <c r="D29" s="62"/>
      <c r="E29" s="62"/>
      <c r="F29" s="62"/>
      <c r="G29" s="62"/>
      <c r="H29" s="62"/>
      <c r="I29" s="62"/>
      <c r="J29" s="62"/>
      <c r="K29" s="62"/>
    </row>
    <row r="30" spans="1:14">
      <c r="A30" s="62"/>
      <c r="B30" s="62"/>
      <c r="C30" s="62"/>
      <c r="D30" s="62"/>
      <c r="E30" s="62"/>
      <c r="F30" s="62"/>
      <c r="G30" s="62"/>
      <c r="H30" s="62"/>
      <c r="I30" s="62"/>
      <c r="J30" s="62"/>
      <c r="K30" s="62"/>
    </row>
    <row r="32" spans="1:14" ht="20.25" thickBot="1">
      <c r="A32" s="63" t="s">
        <v>468</v>
      </c>
      <c r="B32" s="63"/>
      <c r="C32" s="63"/>
      <c r="D32" s="64"/>
      <c r="E32" s="65"/>
      <c r="F32" s="62"/>
      <c r="G32" s="62"/>
      <c r="H32" s="62"/>
    </row>
    <row r="33" spans="1:8" ht="15" thickTop="1">
      <c r="A33" s="62" t="s">
        <v>469</v>
      </c>
      <c r="B33" s="62"/>
      <c r="C33" s="51"/>
      <c r="D33" s="66"/>
      <c r="E33" s="65"/>
      <c r="F33" s="62"/>
      <c r="G33" s="62"/>
      <c r="H33" s="62"/>
    </row>
    <row r="34" spans="1:8">
      <c r="A34" s="62"/>
      <c r="B34" s="62"/>
      <c r="C34" s="62"/>
      <c r="D34" s="62"/>
      <c r="E34" s="65"/>
      <c r="F34" s="62"/>
      <c r="G34" s="62"/>
      <c r="H34" s="62"/>
    </row>
    <row r="35" spans="1:8" ht="17.25" thickBot="1">
      <c r="A35" s="67" t="s">
        <v>470</v>
      </c>
      <c r="B35" s="67"/>
      <c r="C35" s="67"/>
    </row>
    <row r="36" spans="1:8" s="42" customFormat="1" ht="15.6" customHeight="1" thickTop="1" thickBot="1">
      <c r="A36" s="196" t="s">
        <v>471</v>
      </c>
      <c r="B36" s="196" t="s">
        <v>472</v>
      </c>
    </row>
    <row r="37" spans="1:8" s="42" customFormat="1" ht="16.5" thickTop="1" thickBot="1">
      <c r="A37" s="196"/>
      <c r="B37" s="196"/>
    </row>
    <row r="38" spans="1:8" ht="15" thickBot="1">
      <c r="A38" s="57" t="s">
        <v>94</v>
      </c>
      <c r="B38" s="68">
        <v>17.685834400000001</v>
      </c>
    </row>
    <row r="39" spans="1:8" ht="15" thickBot="1">
      <c r="A39" s="57" t="s">
        <v>93</v>
      </c>
      <c r="B39" s="69">
        <v>14.3234078</v>
      </c>
    </row>
    <row r="40" spans="1:8" ht="15" thickBot="1">
      <c r="A40" s="100" t="s">
        <v>96</v>
      </c>
      <c r="B40" s="69">
        <v>29.4</v>
      </c>
      <c r="C40" s="73" t="s">
        <v>459</v>
      </c>
    </row>
    <row r="41" spans="1:8" ht="15" thickBot="1">
      <c r="A41" s="57" t="s">
        <v>95</v>
      </c>
      <c r="B41" s="68">
        <v>15.3030124</v>
      </c>
    </row>
    <row r="42" spans="1:8" ht="15" thickBot="1">
      <c r="A42" s="57" t="s">
        <v>460</v>
      </c>
      <c r="B42" s="69">
        <v>12.2196</v>
      </c>
    </row>
    <row r="43" spans="1:8" ht="15" thickBot="1">
      <c r="A43" s="57" t="s">
        <v>461</v>
      </c>
      <c r="B43" s="69">
        <v>21.587959999999999</v>
      </c>
    </row>
    <row r="44" spans="1:8" ht="15" thickBot="1">
      <c r="A44" s="100" t="s">
        <v>97</v>
      </c>
      <c r="B44" s="69">
        <f>(6-4)/(8-4)*(B46-B43)+B43</f>
        <v>29.785274999999999</v>
      </c>
      <c r="C44" s="73" t="s">
        <v>462</v>
      </c>
    </row>
    <row r="45" spans="1:8" ht="15" thickBot="1">
      <c r="A45" s="100" t="s">
        <v>98</v>
      </c>
      <c r="B45" s="69">
        <f>(7-4)/(8-4)*(B46-B43)+B43</f>
        <v>33.8839325</v>
      </c>
      <c r="C45" s="73" t="s">
        <v>462</v>
      </c>
    </row>
    <row r="46" spans="1:8" ht="15" thickBot="1">
      <c r="A46" s="57" t="s">
        <v>99</v>
      </c>
      <c r="B46" s="68">
        <v>37.982590000000002</v>
      </c>
    </row>
    <row r="47" spans="1:8" ht="15" thickBot="1">
      <c r="A47" s="57" t="s">
        <v>463</v>
      </c>
      <c r="B47" s="69">
        <v>28.512400000000003</v>
      </c>
    </row>
    <row r="48" spans="1:8">
      <c r="A48" s="70" t="s">
        <v>473</v>
      </c>
      <c r="B48" s="71"/>
      <c r="C48" s="71"/>
    </row>
    <row r="49" spans="1:8">
      <c r="A49" s="51" t="s">
        <v>474</v>
      </c>
      <c r="B49" s="51"/>
      <c r="C49" s="51"/>
    </row>
    <row r="50" spans="1:8">
      <c r="A50" s="71" t="s">
        <v>475</v>
      </c>
      <c r="B50" s="71"/>
      <c r="C50" s="71"/>
    </row>
    <row r="51" spans="1:8">
      <c r="A51" s="71" t="s">
        <v>476</v>
      </c>
      <c r="B51" s="71"/>
      <c r="C51" s="71"/>
    </row>
    <row r="54" spans="1:8" ht="20.25" thickBot="1">
      <c r="A54" s="63" t="s">
        <v>477</v>
      </c>
      <c r="B54" s="63"/>
      <c r="C54" s="63"/>
      <c r="D54" s="63"/>
      <c r="E54" s="62"/>
      <c r="F54" s="62"/>
      <c r="G54" s="62"/>
      <c r="H54" s="62"/>
    </row>
    <row r="55" spans="1:8" ht="15" thickTop="1">
      <c r="A55" s="62" t="s">
        <v>478</v>
      </c>
      <c r="B55" s="62"/>
      <c r="C55" s="62"/>
      <c r="D55" s="62"/>
      <c r="E55" s="62"/>
      <c r="F55" s="62"/>
      <c r="G55" s="62"/>
      <c r="H55" s="62"/>
    </row>
    <row r="56" spans="1:8">
      <c r="A56" s="62"/>
      <c r="B56" s="62"/>
      <c r="C56" s="62"/>
      <c r="D56" s="62"/>
      <c r="E56" s="62"/>
      <c r="F56" s="62"/>
      <c r="G56" s="62"/>
      <c r="H56" s="62"/>
    </row>
    <row r="57" spans="1:8" ht="17.25" thickBot="1">
      <c r="A57" s="67" t="s">
        <v>470</v>
      </c>
      <c r="B57" s="62"/>
      <c r="C57" s="62"/>
    </row>
    <row r="58" spans="1:8" s="42" customFormat="1" ht="16.5" thickTop="1" thickBot="1">
      <c r="A58" s="196" t="s">
        <v>479</v>
      </c>
      <c r="B58" s="196" t="s">
        <v>480</v>
      </c>
      <c r="C58" s="97"/>
    </row>
    <row r="59" spans="1:8" s="42" customFormat="1" ht="16.5" thickTop="1" thickBot="1">
      <c r="A59" s="196"/>
      <c r="B59" s="196"/>
      <c r="C59" s="97"/>
    </row>
    <row r="60" spans="1:8" ht="15" thickBot="1">
      <c r="A60" s="57" t="s">
        <v>94</v>
      </c>
      <c r="B60" s="68">
        <v>16.394629999999999</v>
      </c>
      <c r="C60" s="62"/>
    </row>
    <row r="61" spans="1:8" ht="15" thickBot="1">
      <c r="A61" s="57" t="s">
        <v>93</v>
      </c>
      <c r="B61" s="69">
        <v>8.2482299999999995</v>
      </c>
      <c r="C61" s="62"/>
    </row>
    <row r="62" spans="1:8" ht="15" thickBot="1">
      <c r="A62" s="100" t="s">
        <v>96</v>
      </c>
      <c r="B62" s="69">
        <v>20</v>
      </c>
      <c r="C62" s="73" t="s">
        <v>481</v>
      </c>
    </row>
    <row r="63" spans="1:8" ht="15" thickBot="1">
      <c r="A63" s="57" t="s">
        <v>95</v>
      </c>
      <c r="B63" s="68">
        <v>4.1750299999999996</v>
      </c>
      <c r="C63" s="62"/>
    </row>
    <row r="64" spans="1:8" ht="15" thickBot="1">
      <c r="A64" s="57" t="s">
        <v>460</v>
      </c>
      <c r="B64" s="69">
        <v>0</v>
      </c>
      <c r="C64" s="62"/>
    </row>
    <row r="65" spans="1:9" ht="15" thickBot="1">
      <c r="A65" s="57" t="s">
        <v>461</v>
      </c>
      <c r="B65" s="68">
        <v>0</v>
      </c>
      <c r="C65" s="62"/>
    </row>
    <row r="66" spans="1:9" ht="15" thickBot="1">
      <c r="A66" s="100" t="s">
        <v>97</v>
      </c>
      <c r="B66" s="69">
        <f>(6-4)/(8-4)*(B68-B65)+B65</f>
        <v>0</v>
      </c>
      <c r="C66" s="73" t="s">
        <v>462</v>
      </c>
    </row>
    <row r="67" spans="1:9" ht="15" thickBot="1">
      <c r="A67" s="100" t="s">
        <v>98</v>
      </c>
      <c r="B67" s="68">
        <f>(7-4)/(8-4)*(B68-B65)+B65</f>
        <v>0</v>
      </c>
      <c r="C67" s="73" t="s">
        <v>462</v>
      </c>
    </row>
    <row r="68" spans="1:9" ht="15" thickBot="1">
      <c r="A68" s="57" t="s">
        <v>99</v>
      </c>
      <c r="B68" s="69">
        <v>0</v>
      </c>
      <c r="C68" s="62"/>
    </row>
    <row r="69" spans="1:9" ht="15" thickBot="1">
      <c r="A69" s="57" t="s">
        <v>463</v>
      </c>
      <c r="B69" s="68">
        <v>0</v>
      </c>
      <c r="C69" s="62"/>
    </row>
    <row r="70" spans="1:9" ht="15" thickBot="1">
      <c r="A70" s="70" t="s">
        <v>473</v>
      </c>
      <c r="B70" s="69"/>
      <c r="C70" s="62"/>
    </row>
    <row r="71" spans="1:9">
      <c r="A71" s="71" t="s">
        <v>482</v>
      </c>
      <c r="B71" s="62"/>
      <c r="C71" s="62"/>
    </row>
    <row r="72" spans="1:9">
      <c r="A72" s="51" t="s">
        <v>483</v>
      </c>
      <c r="B72" s="62"/>
      <c r="C72" s="62"/>
    </row>
    <row r="73" spans="1:9">
      <c r="A73" s="51" t="s">
        <v>484</v>
      </c>
      <c r="B73" s="62"/>
      <c r="C73" s="62"/>
    </row>
    <row r="76" spans="1:9" ht="17.25" thickBot="1">
      <c r="A76" s="74" t="s">
        <v>485</v>
      </c>
      <c r="B76" s="74"/>
      <c r="C76" s="74"/>
      <c r="D76" s="74"/>
      <c r="E76" s="74"/>
      <c r="F76" s="75"/>
    </row>
    <row r="77" spans="1:9" ht="91.5" thickTop="1" thickBot="1">
      <c r="A77" s="96" t="s">
        <v>486</v>
      </c>
      <c r="B77" s="96" t="s">
        <v>487</v>
      </c>
      <c r="C77" s="96" t="s">
        <v>488</v>
      </c>
      <c r="D77" s="96" t="s">
        <v>489</v>
      </c>
      <c r="E77" s="96" t="s">
        <v>490</v>
      </c>
      <c r="F77" s="96" t="s">
        <v>491</v>
      </c>
      <c r="G77" s="96"/>
      <c r="H77" s="96" t="s">
        <v>492</v>
      </c>
      <c r="I77" s="73" t="s">
        <v>454</v>
      </c>
    </row>
    <row r="78" spans="1:9" ht="15" thickBot="1">
      <c r="A78" s="76" t="s">
        <v>94</v>
      </c>
      <c r="B78" s="77">
        <v>0.61247317127627399</v>
      </c>
      <c r="C78" s="77">
        <v>4.6291776155515399E-2</v>
      </c>
      <c r="D78" s="77">
        <v>7.8746550592663805E-2</v>
      </c>
      <c r="E78" s="77">
        <v>0.26248850197554602</v>
      </c>
      <c r="F78" s="77" t="s">
        <v>458</v>
      </c>
      <c r="H78" s="77">
        <f>E78/(E78+B78)</f>
        <v>0.30000000000000004</v>
      </c>
    </row>
    <row r="79" spans="1:9" ht="15" thickBot="1">
      <c r="A79" s="76" t="s">
        <v>93</v>
      </c>
      <c r="B79" s="78">
        <v>0.59906324135517597</v>
      </c>
      <c r="C79" s="78">
        <v>6.7172952746938894E-2</v>
      </c>
      <c r="D79" s="78">
        <v>7.7022416745665595E-2</v>
      </c>
      <c r="E79" s="78">
        <v>0.256741389152218</v>
      </c>
      <c r="F79" s="78" t="s">
        <v>458</v>
      </c>
      <c r="H79" s="78">
        <f t="shared" ref="H79:H87" si="3">E79/(E79+B79)</f>
        <v>0.29999999999999977</v>
      </c>
    </row>
    <row r="80" spans="1:9" ht="15" thickBot="1">
      <c r="A80" s="100" t="s">
        <v>96</v>
      </c>
      <c r="B80" s="77">
        <v>0.61247317127627399</v>
      </c>
      <c r="C80" s="77">
        <v>4.6291776155515399E-2</v>
      </c>
      <c r="D80" s="77">
        <v>7.8746550592663805E-2</v>
      </c>
      <c r="E80" s="77">
        <v>0.26248850197554602</v>
      </c>
      <c r="F80" s="77" t="s">
        <v>458</v>
      </c>
      <c r="H80" s="77">
        <f>E80/(E80+B80)</f>
        <v>0.30000000000000004</v>
      </c>
      <c r="I80" s="73" t="s">
        <v>493</v>
      </c>
    </row>
    <row r="81" spans="1:9" ht="15" thickBot="1">
      <c r="A81" s="76" t="s">
        <v>95</v>
      </c>
      <c r="B81" s="77">
        <v>0.62652065446390104</v>
      </c>
      <c r="C81" s="77">
        <v>2.4417838018469001E-2</v>
      </c>
      <c r="D81" s="77">
        <v>8.0552655910516899E-2</v>
      </c>
      <c r="E81" s="77">
        <v>0.26850885160711202</v>
      </c>
      <c r="F81" s="77" t="s">
        <v>458</v>
      </c>
      <c r="H81" s="77">
        <f t="shared" si="3"/>
        <v>0.29999999976068731</v>
      </c>
    </row>
    <row r="82" spans="1:9" ht="15" thickBot="1">
      <c r="A82" s="76" t="s">
        <v>460</v>
      </c>
      <c r="B82" s="78">
        <v>0.56603773584905603</v>
      </c>
      <c r="C82" s="78">
        <v>0</v>
      </c>
      <c r="D82" s="78">
        <v>5.6603773584905599E-2</v>
      </c>
      <c r="E82" s="78">
        <v>0.37735849056603699</v>
      </c>
      <c r="F82" s="78" t="s">
        <v>458</v>
      </c>
      <c r="H82" s="78">
        <f t="shared" si="3"/>
        <v>0.39999999999999974</v>
      </c>
    </row>
    <row r="83" spans="1:9" ht="15" thickBot="1">
      <c r="A83" s="76" t="s">
        <v>461</v>
      </c>
      <c r="B83" s="77">
        <v>0.80395091290032905</v>
      </c>
      <c r="C83" s="77">
        <v>0</v>
      </c>
      <c r="D83" s="77">
        <v>2.9931158335827501E-2</v>
      </c>
      <c r="E83" s="77">
        <v>0.16611792876384299</v>
      </c>
      <c r="F83" s="77" t="s">
        <v>458</v>
      </c>
      <c r="H83" s="77">
        <f t="shared" si="3"/>
        <v>0.17124344338167222</v>
      </c>
    </row>
    <row r="84" spans="1:9" ht="15" thickBot="1">
      <c r="A84" s="100" t="s">
        <v>97</v>
      </c>
      <c r="B84" s="78">
        <f>(6-4)/(8-4)*(B86-B83)+B83</f>
        <v>0.80873471570942357</v>
      </c>
      <c r="C84" s="78">
        <f t="shared" ref="C84:E84" si="4">(6-4)/(8-4)*(C86-C83)+C83</f>
        <v>0</v>
      </c>
      <c r="D84" s="78">
        <f t="shared" si="4"/>
        <v>2.4224838427173E-2</v>
      </c>
      <c r="E84" s="78">
        <f t="shared" si="4"/>
        <v>0.1670404458634025</v>
      </c>
      <c r="F84" s="78"/>
      <c r="H84" s="78">
        <f t="shared" si="3"/>
        <v>0.17118743378767137</v>
      </c>
      <c r="I84" s="73" t="s">
        <v>462</v>
      </c>
    </row>
    <row r="85" spans="1:9" ht="15" thickBot="1">
      <c r="A85" s="100" t="s">
        <v>98</v>
      </c>
      <c r="B85" s="77">
        <f>(7-4)/(8-4)*(B86-B83)+B83</f>
        <v>0.81112661711397072</v>
      </c>
      <c r="C85" s="77">
        <f t="shared" ref="C85:E85" si="5">(7-4)/(8-4)*(C86-C83)+C83</f>
        <v>0</v>
      </c>
      <c r="D85" s="77">
        <f t="shared" si="5"/>
        <v>2.137167847284575E-2</v>
      </c>
      <c r="E85" s="77">
        <f t="shared" si="5"/>
        <v>0.16750170441318224</v>
      </c>
      <c r="F85" s="77"/>
      <c r="H85" s="77">
        <f t="shared" si="3"/>
        <v>0.17115967393197373</v>
      </c>
      <c r="I85" s="73" t="s">
        <v>462</v>
      </c>
    </row>
    <row r="86" spans="1:9" ht="15" thickBot="1">
      <c r="A86" s="76" t="s">
        <v>494</v>
      </c>
      <c r="B86" s="78">
        <v>0.81351851851851797</v>
      </c>
      <c r="C86" s="78">
        <v>0</v>
      </c>
      <c r="D86" s="78">
        <v>1.85185185185185E-2</v>
      </c>
      <c r="E86" s="78">
        <v>0.16796296296296201</v>
      </c>
      <c r="F86" s="78" t="s">
        <v>458</v>
      </c>
      <c r="H86" s="78">
        <f t="shared" si="3"/>
        <v>0.1711320754716974</v>
      </c>
    </row>
    <row r="87" spans="1:9" ht="15" thickBot="1">
      <c r="A87" s="76" t="s">
        <v>463</v>
      </c>
      <c r="B87" s="77">
        <v>0.70379376225094903</v>
      </c>
      <c r="C87" s="77">
        <v>0</v>
      </c>
      <c r="D87" s="77">
        <v>2.4390243902439025E-2</v>
      </c>
      <c r="E87" s="77">
        <v>0.27181599384661193</v>
      </c>
      <c r="F87" s="77" t="s">
        <v>458</v>
      </c>
      <c r="H87" s="77">
        <f t="shared" si="3"/>
        <v>0.27861139369277721</v>
      </c>
    </row>
    <row r="88" spans="1:9">
      <c r="A88" s="79" t="s">
        <v>473</v>
      </c>
      <c r="B88" s="78"/>
      <c r="C88" s="78"/>
      <c r="D88" s="78"/>
      <c r="E88" s="78"/>
      <c r="F88" s="78"/>
      <c r="H88" s="78"/>
    </row>
    <row r="89" spans="1:9">
      <c r="A89" s="79" t="s">
        <v>495</v>
      </c>
      <c r="B89" s="79"/>
      <c r="C89" s="80"/>
      <c r="D89" s="80"/>
      <c r="E89" s="80"/>
      <c r="F89" s="80"/>
    </row>
    <row r="93" spans="1:9" ht="20.25" thickBot="1">
      <c r="A93" s="63" t="s">
        <v>496</v>
      </c>
      <c r="B93" s="47"/>
      <c r="C93" s="47"/>
      <c r="D93" s="47"/>
      <c r="E93" s="47"/>
      <c r="F93" s="47"/>
      <c r="G93" s="47"/>
    </row>
    <row r="94" spans="1:9" ht="15" thickTop="1">
      <c r="A94" s="197" t="s">
        <v>497</v>
      </c>
      <c r="B94" s="197"/>
      <c r="C94" s="197"/>
      <c r="D94" s="197"/>
      <c r="E94" s="197"/>
      <c r="F94" s="197"/>
      <c r="G94" s="47"/>
    </row>
    <row r="95" spans="1:9">
      <c r="A95" s="198" t="s">
        <v>498</v>
      </c>
      <c r="B95" s="199"/>
      <c r="C95" s="199"/>
      <c r="D95" s="199"/>
      <c r="E95" s="199"/>
      <c r="F95" s="199"/>
      <c r="G95" s="47"/>
    </row>
    <row r="96" spans="1:9" ht="15" thickBot="1">
      <c r="A96" s="47"/>
      <c r="B96" s="47"/>
      <c r="C96" s="47"/>
      <c r="D96" s="47"/>
      <c r="E96" s="47"/>
      <c r="F96" s="47"/>
      <c r="G96" s="47"/>
    </row>
    <row r="97" spans="1:8" ht="57.75" thickBot="1">
      <c r="A97" s="81" t="s">
        <v>486</v>
      </c>
      <c r="B97" s="82" t="s">
        <v>499</v>
      </c>
      <c r="C97" s="81" t="s">
        <v>500</v>
      </c>
      <c r="D97" s="81" t="s">
        <v>501</v>
      </c>
      <c r="E97" s="81" t="s">
        <v>502</v>
      </c>
      <c r="F97" s="81" t="s">
        <v>503</v>
      </c>
      <c r="G97" s="81" t="s">
        <v>504</v>
      </c>
    </row>
    <row r="98" spans="1:8" ht="15" thickBot="1">
      <c r="A98" s="57" t="s">
        <v>94</v>
      </c>
      <c r="B98" s="83">
        <v>2</v>
      </c>
      <c r="C98" s="83">
        <v>2</v>
      </c>
      <c r="D98" s="83">
        <v>1.5</v>
      </c>
      <c r="E98" s="83">
        <v>6</v>
      </c>
      <c r="F98" s="83">
        <v>25</v>
      </c>
      <c r="G98" s="83">
        <v>40</v>
      </c>
    </row>
    <row r="99" spans="1:8" ht="15" thickBot="1">
      <c r="A99" s="57" t="s">
        <v>93</v>
      </c>
      <c r="B99" s="69">
        <v>2</v>
      </c>
      <c r="C99" s="69">
        <v>2</v>
      </c>
      <c r="D99" s="69">
        <v>1.1153846153846101</v>
      </c>
      <c r="E99" s="69">
        <v>5</v>
      </c>
      <c r="F99" s="69">
        <v>25</v>
      </c>
      <c r="G99" s="69">
        <v>40</v>
      </c>
    </row>
    <row r="100" spans="1:8" ht="15" thickBot="1">
      <c r="A100" s="100" t="s">
        <v>96</v>
      </c>
      <c r="B100" s="83">
        <v>2</v>
      </c>
      <c r="C100" s="83">
        <v>1</v>
      </c>
      <c r="D100" s="83">
        <v>1</v>
      </c>
      <c r="E100" s="83">
        <f>SUM(B100:D100)</f>
        <v>4</v>
      </c>
      <c r="F100" s="83">
        <v>25</v>
      </c>
      <c r="G100" s="83">
        <v>25</v>
      </c>
      <c r="H100" s="73" t="s">
        <v>505</v>
      </c>
    </row>
    <row r="101" spans="1:8" ht="15" thickBot="1">
      <c r="A101" s="57" t="s">
        <v>95</v>
      </c>
      <c r="B101" s="83">
        <v>2.5</v>
      </c>
      <c r="C101" s="83">
        <v>1.75</v>
      </c>
      <c r="D101" s="83">
        <v>1.5</v>
      </c>
      <c r="E101" s="83">
        <v>6</v>
      </c>
      <c r="F101" s="83">
        <v>25</v>
      </c>
      <c r="G101" s="83">
        <v>40</v>
      </c>
    </row>
    <row r="102" spans="1:8" ht="15" thickBot="1">
      <c r="A102" s="57" t="s">
        <v>460</v>
      </c>
      <c r="B102" s="69">
        <v>0</v>
      </c>
      <c r="C102" s="69">
        <v>1</v>
      </c>
      <c r="D102" s="69">
        <v>0.5</v>
      </c>
      <c r="E102" s="69">
        <v>2</v>
      </c>
      <c r="F102" s="69">
        <v>30</v>
      </c>
      <c r="G102" s="69">
        <v>30</v>
      </c>
    </row>
    <row r="103" spans="1:8" ht="15" thickBot="1">
      <c r="A103" s="57" t="s">
        <v>461</v>
      </c>
      <c r="B103" s="83">
        <v>0</v>
      </c>
      <c r="C103" s="83">
        <v>1.4</v>
      </c>
      <c r="D103" s="83">
        <v>1.15384615384615</v>
      </c>
      <c r="E103" s="83">
        <v>3</v>
      </c>
      <c r="F103" s="83">
        <v>20</v>
      </c>
      <c r="G103" s="83">
        <v>20</v>
      </c>
    </row>
    <row r="104" spans="1:8" ht="15" thickBot="1">
      <c r="A104" s="100" t="s">
        <v>97</v>
      </c>
      <c r="B104" s="69">
        <f>(6-4)/(8-4)*(B106-B103)+B103</f>
        <v>0</v>
      </c>
      <c r="C104" s="69">
        <f t="shared" ref="C104:G104" si="6">(6-4)/(8-4)*(C106-C103)+C103</f>
        <v>1.5</v>
      </c>
      <c r="D104" s="69">
        <f t="shared" si="6"/>
        <v>1.2307692307692251</v>
      </c>
      <c r="E104" s="69">
        <f t="shared" si="6"/>
        <v>3</v>
      </c>
      <c r="F104" s="69">
        <f t="shared" si="6"/>
        <v>20</v>
      </c>
      <c r="G104" s="69">
        <f t="shared" si="6"/>
        <v>20</v>
      </c>
      <c r="H104" s="73" t="s">
        <v>462</v>
      </c>
    </row>
    <row r="105" spans="1:8" ht="15" thickBot="1">
      <c r="A105" s="100" t="s">
        <v>98</v>
      </c>
      <c r="B105" s="83">
        <f>(7-4)/(8-4)*(B106-B103)+B103</f>
        <v>0</v>
      </c>
      <c r="C105" s="83">
        <f t="shared" ref="C105:G105" si="7">(7-4)/(8-4)*(C106-C103)+C103</f>
        <v>1.55</v>
      </c>
      <c r="D105" s="83">
        <f t="shared" si="7"/>
        <v>1.2692307692307625</v>
      </c>
      <c r="E105" s="83">
        <f t="shared" si="7"/>
        <v>3</v>
      </c>
      <c r="F105" s="83">
        <f t="shared" si="7"/>
        <v>20</v>
      </c>
      <c r="G105" s="83">
        <f t="shared" si="7"/>
        <v>20</v>
      </c>
      <c r="H105" s="73" t="s">
        <v>462</v>
      </c>
    </row>
    <row r="106" spans="1:8" ht="15" thickBot="1">
      <c r="A106" s="57" t="s">
        <v>99</v>
      </c>
      <c r="B106" s="69">
        <v>0</v>
      </c>
      <c r="C106" s="69">
        <v>1.6</v>
      </c>
      <c r="D106" s="69">
        <v>1.3076923076922999</v>
      </c>
      <c r="E106" s="69">
        <v>3</v>
      </c>
      <c r="F106" s="69">
        <v>20</v>
      </c>
      <c r="G106" s="69">
        <v>20</v>
      </c>
    </row>
    <row r="107" spans="1:8" ht="15" thickBot="1">
      <c r="A107" s="57" t="s">
        <v>463</v>
      </c>
      <c r="B107" s="83">
        <v>0</v>
      </c>
      <c r="C107" s="83">
        <v>1</v>
      </c>
      <c r="D107" s="83">
        <v>1.7307692307692299</v>
      </c>
      <c r="E107" s="83">
        <v>3</v>
      </c>
      <c r="F107" s="83">
        <v>25</v>
      </c>
      <c r="G107" s="83">
        <v>30</v>
      </c>
    </row>
    <row r="108" spans="1:8" ht="15" thickBot="1">
      <c r="A108" s="51" t="s">
        <v>473</v>
      </c>
      <c r="B108" s="69"/>
      <c r="C108" s="69"/>
      <c r="D108" s="69"/>
      <c r="E108" s="69"/>
      <c r="F108" s="69"/>
      <c r="G108" s="69"/>
    </row>
    <row r="109" spans="1:8">
      <c r="A109" s="51" t="s">
        <v>506</v>
      </c>
      <c r="B109" s="51"/>
      <c r="C109" s="51"/>
      <c r="D109" s="51"/>
      <c r="E109" s="51"/>
      <c r="F109" s="51"/>
      <c r="G109" s="51"/>
    </row>
    <row r="110" spans="1:8">
      <c r="A110" s="51" t="s">
        <v>507</v>
      </c>
      <c r="B110" s="51"/>
      <c r="C110" s="51"/>
      <c r="D110" s="51"/>
      <c r="E110" s="51"/>
      <c r="F110" s="51"/>
      <c r="G110" s="51"/>
    </row>
    <row r="111" spans="1:8">
      <c r="A111" s="51" t="s">
        <v>508</v>
      </c>
      <c r="B111" s="51"/>
      <c r="C111" s="51"/>
      <c r="D111" s="51"/>
      <c r="E111" s="51"/>
      <c r="F111" s="51"/>
      <c r="G111" s="51"/>
    </row>
    <row r="112" spans="1:8">
      <c r="A112" s="51" t="s">
        <v>509</v>
      </c>
      <c r="B112" s="51"/>
      <c r="C112" s="51"/>
      <c r="D112" s="51"/>
      <c r="E112" s="51"/>
      <c r="F112" s="80"/>
      <c r="G112" s="84"/>
    </row>
    <row r="113" spans="1:7">
      <c r="A113" s="51" t="s">
        <v>510</v>
      </c>
      <c r="B113" s="51"/>
      <c r="C113" s="51"/>
      <c r="D113" s="51"/>
      <c r="E113" s="51"/>
      <c r="F113" s="80"/>
      <c r="G113" s="80"/>
    </row>
    <row r="114" spans="1:7">
      <c r="A114" s="51" t="s">
        <v>511</v>
      </c>
      <c r="B114" s="51"/>
      <c r="C114" s="51"/>
      <c r="D114" s="51"/>
      <c r="E114" s="51"/>
      <c r="F114" s="80"/>
      <c r="G114" s="80"/>
    </row>
    <row r="115" spans="1:7">
      <c r="A115" s="51" t="s">
        <v>512</v>
      </c>
      <c r="B115" s="51"/>
      <c r="C115" s="51"/>
      <c r="D115" s="51"/>
      <c r="E115" s="51"/>
      <c r="F115" s="47"/>
      <c r="G115" s="47"/>
    </row>
  </sheetData>
  <mergeCells count="6">
    <mergeCell ref="B58:B59"/>
    <mergeCell ref="A94:F94"/>
    <mergeCell ref="A95:F95"/>
    <mergeCell ref="A58:A59"/>
    <mergeCell ref="A36:A37"/>
    <mergeCell ref="B36:B37"/>
  </mergeCells>
  <hyperlinks>
    <hyperlink ref="A3" r:id="rId1" xr:uid="{AFF8FC3D-BC1C-460B-93F2-B3C886FEE392}"/>
  </hyperlinks>
  <pageMargins left="0.7" right="0.7" top="0.75" bottom="0.75" header="0.3" footer="0.3"/>
  <pageSetup paperSize="9" orientation="portrait" r:id="rId2"/>
  <headerFooter>
    <oddHeader>&amp;C&amp;"Aptos"&amp;10&amp;KFF0000 OFFICIAL&amp;1#_x000D_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CD42-300C-4643-8CA1-50DABE45C994}">
  <dimension ref="A1:Z65"/>
  <sheetViews>
    <sheetView zoomScale="90" zoomScaleNormal="90" workbookViewId="0">
      <pane xSplit="2" ySplit="7" topLeftCell="H8" activePane="bottomRight" state="frozen"/>
      <selection pane="topRight" activeCell="C1" sqref="C1"/>
      <selection pane="bottomLeft" activeCell="A8" sqref="A8"/>
      <selection pane="bottomRight" activeCell="W63" sqref="W63"/>
    </sheetView>
  </sheetViews>
  <sheetFormatPr defaultColWidth="9.25" defaultRowHeight="14.25"/>
  <cols>
    <col min="1" max="1" width="51.25" style="1" customWidth="1"/>
    <col min="2" max="2" width="9.25" style="1"/>
    <col min="3" max="3" width="17.125" style="1" customWidth="1"/>
    <col min="4" max="6" width="9.25" style="1"/>
    <col min="7" max="28" width="13.25" style="1" customWidth="1"/>
    <col min="29" max="16384" width="9.25" style="1"/>
  </cols>
  <sheetData>
    <row r="1" spans="1:26" ht="20.25">
      <c r="A1" s="44" t="s">
        <v>513</v>
      </c>
      <c r="J1" s="2"/>
    </row>
    <row r="2" spans="1:26">
      <c r="A2" s="1" t="s">
        <v>514</v>
      </c>
    </row>
    <row r="3" spans="1:26">
      <c r="A3" s="73" t="s">
        <v>515</v>
      </c>
    </row>
    <row r="5" spans="1:26" s="39" customFormat="1" ht="15">
      <c r="A5" s="37" t="s">
        <v>516</v>
      </c>
      <c r="B5" s="37"/>
      <c r="C5" s="37"/>
      <c r="D5" s="37"/>
      <c r="E5" s="38"/>
      <c r="F5" s="38"/>
      <c r="G5" s="37" t="s">
        <v>72</v>
      </c>
      <c r="H5" s="37" t="s">
        <v>72</v>
      </c>
      <c r="I5" s="37" t="s">
        <v>72</v>
      </c>
      <c r="J5" s="37" t="s">
        <v>72</v>
      </c>
      <c r="K5" s="37" t="s">
        <v>72</v>
      </c>
      <c r="L5" s="37" t="s">
        <v>72</v>
      </c>
      <c r="M5" s="37" t="s">
        <v>72</v>
      </c>
      <c r="N5" s="37" t="s">
        <v>72</v>
      </c>
      <c r="O5" s="37" t="s">
        <v>72</v>
      </c>
      <c r="P5" s="37" t="s">
        <v>72</v>
      </c>
      <c r="Q5" s="37" t="s">
        <v>72</v>
      </c>
      <c r="R5" s="37" t="s">
        <v>72</v>
      </c>
      <c r="S5" s="37" t="s">
        <v>73</v>
      </c>
      <c r="T5" s="37" t="s">
        <v>73</v>
      </c>
      <c r="U5" s="37" t="s">
        <v>73</v>
      </c>
      <c r="V5" s="37" t="s">
        <v>73</v>
      </c>
      <c r="W5" s="37" t="s">
        <v>74</v>
      </c>
      <c r="X5" s="37" t="s">
        <v>74</v>
      </c>
      <c r="Y5" s="37" t="s">
        <v>74</v>
      </c>
      <c r="Z5" s="37" t="s">
        <v>74</v>
      </c>
    </row>
    <row r="6" spans="1:26" s="39" customFormat="1" ht="15">
      <c r="A6" s="37"/>
      <c r="B6" s="37"/>
      <c r="C6" s="37"/>
      <c r="D6" s="37"/>
      <c r="E6" s="38"/>
      <c r="F6" s="38"/>
      <c r="G6" s="37" t="s">
        <v>76</v>
      </c>
      <c r="H6" s="37" t="s">
        <v>76</v>
      </c>
      <c r="I6" s="37" t="s">
        <v>77</v>
      </c>
      <c r="J6" s="37" t="s">
        <v>77</v>
      </c>
      <c r="K6" s="37" t="s">
        <v>78</v>
      </c>
      <c r="L6" s="37" t="s">
        <v>78</v>
      </c>
      <c r="M6" s="37" t="s">
        <v>79</v>
      </c>
      <c r="N6" s="37" t="s">
        <v>79</v>
      </c>
      <c r="O6" s="37" t="s">
        <v>80</v>
      </c>
      <c r="P6" s="37" t="s">
        <v>80</v>
      </c>
      <c r="Q6" s="37" t="s">
        <v>81</v>
      </c>
      <c r="R6" s="37" t="s">
        <v>81</v>
      </c>
      <c r="S6" s="37" t="s">
        <v>82</v>
      </c>
      <c r="T6" s="37" t="s">
        <v>82</v>
      </c>
      <c r="U6" s="37" t="s">
        <v>76</v>
      </c>
      <c r="V6" s="37" t="s">
        <v>76</v>
      </c>
      <c r="W6" s="37" t="s">
        <v>83</v>
      </c>
      <c r="X6" s="37" t="s">
        <v>83</v>
      </c>
      <c r="Y6" s="37" t="s">
        <v>84</v>
      </c>
      <c r="Z6" s="37" t="s">
        <v>84</v>
      </c>
    </row>
    <row r="7" spans="1:26" s="39" customFormat="1" ht="15.75" thickBot="1">
      <c r="A7" s="37"/>
      <c r="B7" s="37"/>
      <c r="C7" s="37"/>
      <c r="D7" s="37"/>
      <c r="E7" s="38"/>
      <c r="F7" s="38"/>
      <c r="G7" s="37" t="s">
        <v>517</v>
      </c>
      <c r="H7" s="37" t="s">
        <v>518</v>
      </c>
      <c r="I7" s="37" t="s">
        <v>517</v>
      </c>
      <c r="J7" s="37" t="s">
        <v>518</v>
      </c>
      <c r="K7" s="37" t="s">
        <v>517</v>
      </c>
      <c r="L7" s="37" t="s">
        <v>518</v>
      </c>
      <c r="M7" s="37" t="s">
        <v>518</v>
      </c>
      <c r="N7" s="37" t="s">
        <v>517</v>
      </c>
      <c r="O7" s="37" t="s">
        <v>517</v>
      </c>
      <c r="P7" s="37" t="s">
        <v>518</v>
      </c>
      <c r="Q7" s="37" t="s">
        <v>517</v>
      </c>
      <c r="R7" s="37" t="s">
        <v>518</v>
      </c>
      <c r="S7" s="37" t="s">
        <v>517</v>
      </c>
      <c r="T7" s="37" t="s">
        <v>518</v>
      </c>
      <c r="U7" s="37" t="s">
        <v>517</v>
      </c>
      <c r="V7" s="37" t="s">
        <v>518</v>
      </c>
      <c r="W7" s="37" t="s">
        <v>517</v>
      </c>
      <c r="X7" s="37" t="s">
        <v>518</v>
      </c>
      <c r="Y7" s="37" t="s">
        <v>517</v>
      </c>
      <c r="Z7" s="37" t="s">
        <v>518</v>
      </c>
    </row>
    <row r="8" spans="1:26" ht="30.75" thickTop="1">
      <c r="A8" s="4" t="s">
        <v>519</v>
      </c>
      <c r="B8" s="5"/>
      <c r="C8" s="3"/>
      <c r="D8" s="3"/>
      <c r="G8" s="6" t="s">
        <v>520</v>
      </c>
      <c r="H8" s="6" t="s">
        <v>520</v>
      </c>
      <c r="I8" s="6" t="s">
        <v>520</v>
      </c>
      <c r="J8" s="6" t="s">
        <v>520</v>
      </c>
      <c r="K8" s="6" t="s">
        <v>520</v>
      </c>
      <c r="L8" s="6" t="s">
        <v>520</v>
      </c>
      <c r="M8" s="6" t="s">
        <v>520</v>
      </c>
      <c r="N8" s="6" t="s">
        <v>520</v>
      </c>
      <c r="O8" s="6" t="s">
        <v>520</v>
      </c>
      <c r="P8" s="6" t="s">
        <v>520</v>
      </c>
      <c r="Q8" s="6" t="s">
        <v>520</v>
      </c>
      <c r="R8" s="6" t="s">
        <v>520</v>
      </c>
      <c r="S8" s="6" t="s">
        <v>520</v>
      </c>
      <c r="T8" s="6" t="s">
        <v>520</v>
      </c>
      <c r="U8" s="6" t="s">
        <v>520</v>
      </c>
      <c r="V8" s="6" t="s">
        <v>520</v>
      </c>
      <c r="W8" s="6" t="s">
        <v>520</v>
      </c>
      <c r="X8" s="6" t="s">
        <v>520</v>
      </c>
      <c r="Y8" s="6" t="s">
        <v>520</v>
      </c>
      <c r="Z8" s="6" t="s">
        <v>520</v>
      </c>
    </row>
    <row r="9" spans="1:26" ht="15.75">
      <c r="A9" s="7" t="s">
        <v>521</v>
      </c>
      <c r="B9" s="8" t="s">
        <v>422</v>
      </c>
      <c r="G9" s="9">
        <v>132296450.24201274</v>
      </c>
      <c r="H9" s="9">
        <v>130536639.82193112</v>
      </c>
      <c r="I9" s="9">
        <v>128336322.92185426</v>
      </c>
      <c r="J9" s="9">
        <v>126637114.29902053</v>
      </c>
      <c r="K9" s="9">
        <v>115037057.12581468</v>
      </c>
      <c r="L9" s="9">
        <v>113263684.90634894</v>
      </c>
      <c r="M9" s="9">
        <v>324534675.11188579</v>
      </c>
      <c r="N9" s="9">
        <v>329234458.09845424</v>
      </c>
      <c r="O9" s="9">
        <v>297420853.9432075</v>
      </c>
      <c r="P9" s="9">
        <v>294316820.98417115</v>
      </c>
      <c r="Q9" s="9">
        <v>293776714.65869904</v>
      </c>
      <c r="R9" s="9">
        <v>290412403.51148272</v>
      </c>
      <c r="S9" s="9">
        <v>212047429.47027636</v>
      </c>
      <c r="T9" s="9">
        <v>210273748.55082464</v>
      </c>
      <c r="U9" s="9">
        <v>238455681.12099671</v>
      </c>
      <c r="V9" s="9">
        <v>236695618.70092654</v>
      </c>
      <c r="W9" s="9">
        <v>186744721.71934986</v>
      </c>
      <c r="X9" s="9">
        <v>183713071.55702639</v>
      </c>
      <c r="Y9" s="9">
        <v>143123840.80030775</v>
      </c>
      <c r="Z9" s="9">
        <v>140515987.41873837</v>
      </c>
    </row>
    <row r="10" spans="1:26" ht="15.75">
      <c r="A10" s="7" t="s">
        <v>522</v>
      </c>
      <c r="B10" s="8" t="s">
        <v>422</v>
      </c>
      <c r="G10" s="9">
        <v>7865263.4613039494</v>
      </c>
      <c r="H10" s="9">
        <v>7170273.3000249267</v>
      </c>
      <c r="I10" s="9">
        <v>8164695.0025465786</v>
      </c>
      <c r="J10" s="9">
        <v>7449537.3865206242</v>
      </c>
      <c r="K10" s="9">
        <v>13812727.461673111</v>
      </c>
      <c r="L10" s="9">
        <v>5679947.4712260514</v>
      </c>
      <c r="M10" s="9">
        <v>10337334.762783542</v>
      </c>
      <c r="N10" s="9">
        <v>11384919.22463809</v>
      </c>
      <c r="O10" s="9">
        <v>9849616.1214036047</v>
      </c>
      <c r="P10" s="9">
        <v>8917720.7105973512</v>
      </c>
      <c r="Q10" s="9">
        <v>10786158.884651542</v>
      </c>
      <c r="R10" s="9">
        <v>10239611.684009805</v>
      </c>
      <c r="S10" s="9">
        <v>26446049.840645805</v>
      </c>
      <c r="T10" s="9">
        <v>18490216.372978359</v>
      </c>
      <c r="U10" s="9">
        <v>24387474.203977525</v>
      </c>
      <c r="V10" s="9">
        <v>23849733.930725276</v>
      </c>
      <c r="W10" s="9">
        <v>4729133.4756571949</v>
      </c>
      <c r="X10" s="9">
        <v>3951880.4879104346</v>
      </c>
      <c r="Y10" s="9">
        <v>3722810.6007848829</v>
      </c>
      <c r="Z10" s="9">
        <v>3040401.9068479836</v>
      </c>
    </row>
    <row r="11" spans="1:26" ht="15.75">
      <c r="A11" s="7" t="s">
        <v>523</v>
      </c>
      <c r="B11" s="8" t="s">
        <v>422</v>
      </c>
      <c r="G11" s="9">
        <v>21714795.816550497</v>
      </c>
      <c r="H11" s="9">
        <v>19863542.092916869</v>
      </c>
      <c r="I11" s="9">
        <v>22078781.579620175</v>
      </c>
      <c r="J11" s="9">
        <v>20204701.844250858</v>
      </c>
      <c r="K11" s="9">
        <v>18315485.564844999</v>
      </c>
      <c r="L11" s="9">
        <v>14117100.03701153</v>
      </c>
      <c r="M11" s="9">
        <v>33185121.922820024</v>
      </c>
      <c r="N11" s="9">
        <v>35630554.226800583</v>
      </c>
      <c r="O11" s="9">
        <v>25873035.463536598</v>
      </c>
      <c r="P11" s="9">
        <v>24130554.942179464</v>
      </c>
      <c r="Q11" s="9">
        <v>30696312.534062736</v>
      </c>
      <c r="R11" s="9">
        <v>28226093.064670675</v>
      </c>
      <c r="S11" s="9">
        <v>37585620.446768992</v>
      </c>
      <c r="T11" s="9">
        <v>32970252.288124986</v>
      </c>
      <c r="U11" s="9">
        <v>45357509.961574949</v>
      </c>
      <c r="V11" s="9">
        <v>43499876.575735062</v>
      </c>
      <c r="W11" s="9">
        <v>19714030.611035839</v>
      </c>
      <c r="X11" s="9">
        <v>17421232.993010376</v>
      </c>
      <c r="Y11" s="9">
        <v>17196812.089340989</v>
      </c>
      <c r="Z11" s="9">
        <v>15259952.838147545</v>
      </c>
    </row>
    <row r="12" spans="1:26" ht="15.75">
      <c r="A12" s="7" t="s">
        <v>524</v>
      </c>
      <c r="B12" s="8" t="s">
        <v>422</v>
      </c>
      <c r="G12" s="9">
        <v>21283729.131600056</v>
      </c>
      <c r="H12" s="9">
        <v>19552066.065912526</v>
      </c>
      <c r="I12" s="9">
        <v>21711402.871525295</v>
      </c>
      <c r="J12" s="9">
        <v>19979394.963177614</v>
      </c>
      <c r="K12" s="9">
        <v>15403158.558307139</v>
      </c>
      <c r="L12" s="9">
        <v>11480960.200083012</v>
      </c>
      <c r="M12" s="9">
        <v>33254299.820192054</v>
      </c>
      <c r="N12" s="9">
        <v>35771723.84700717</v>
      </c>
      <c r="O12" s="9">
        <v>22809356.496357355</v>
      </c>
      <c r="P12" s="9">
        <v>21206630.642684076</v>
      </c>
      <c r="Q12" s="9">
        <v>27402312.613306917</v>
      </c>
      <c r="R12" s="9">
        <v>24971603.924300194</v>
      </c>
      <c r="S12" s="9">
        <v>45509562.474163629</v>
      </c>
      <c r="T12" s="9">
        <v>40817779.168844603</v>
      </c>
      <c r="U12" s="9">
        <v>63834551.002124511</v>
      </c>
      <c r="V12" s="9">
        <v>61641232.915198453</v>
      </c>
      <c r="W12" s="9">
        <v>35042332.680137239</v>
      </c>
      <c r="X12" s="9">
        <v>33293724.368599709</v>
      </c>
      <c r="Y12" s="9">
        <v>29195940.270168617</v>
      </c>
      <c r="Z12" s="9">
        <v>27637890.977786146</v>
      </c>
    </row>
    <row r="13" spans="1:26" ht="15.75">
      <c r="A13" s="7" t="s">
        <v>525</v>
      </c>
      <c r="B13" s="8" t="s">
        <v>422</v>
      </c>
      <c r="G13" s="9">
        <v>9431816.3686319236</v>
      </c>
      <c r="H13" s="9">
        <v>8998593.585225122</v>
      </c>
      <c r="I13" s="9">
        <v>9518269.4040642306</v>
      </c>
      <c r="J13" s="9">
        <v>9079220.2696286403</v>
      </c>
      <c r="K13" s="9">
        <v>6188561.8743767226</v>
      </c>
      <c r="L13" s="9">
        <v>5243275.0215811143</v>
      </c>
      <c r="M13" s="9">
        <v>20242173.372479517</v>
      </c>
      <c r="N13" s="9">
        <v>22420283.031534936</v>
      </c>
      <c r="O13" s="9">
        <v>11844899.962800832</v>
      </c>
      <c r="P13" s="9">
        <v>10835291.101118881</v>
      </c>
      <c r="Q13" s="9">
        <v>21190555.43381805</v>
      </c>
      <c r="R13" s="9">
        <v>20544918.546895292</v>
      </c>
      <c r="S13" s="9">
        <v>13291528.054923218</v>
      </c>
      <c r="T13" s="9">
        <v>12030592.371158419</v>
      </c>
      <c r="U13" s="9">
        <v>21497545.367836736</v>
      </c>
      <c r="V13" s="9">
        <v>20960638.476160835</v>
      </c>
      <c r="W13" s="9">
        <v>14262805.932611499</v>
      </c>
      <c r="X13" s="9">
        <v>13623152.467178326</v>
      </c>
      <c r="Y13" s="9">
        <v>10429719.528671633</v>
      </c>
      <c r="Z13" s="9">
        <v>9935890.3786032796</v>
      </c>
    </row>
    <row r="14" spans="1:26" ht="15.75">
      <c r="A14" s="7" t="s">
        <v>526</v>
      </c>
      <c r="B14" s="8" t="s">
        <v>422</v>
      </c>
      <c r="G14" s="9">
        <v>3678318.1027963581</v>
      </c>
      <c r="H14" s="9">
        <v>3678318.1027963581</v>
      </c>
      <c r="I14" s="9">
        <v>3699449.8184115998</v>
      </c>
      <c r="J14" s="9">
        <v>3699449.8184115998</v>
      </c>
      <c r="K14" s="9">
        <v>3711241.0777281974</v>
      </c>
      <c r="L14" s="9">
        <v>3413565.2999530039</v>
      </c>
      <c r="M14" s="9">
        <v>3762574.7126875571</v>
      </c>
      <c r="N14" s="9">
        <v>3762574.7126875571</v>
      </c>
      <c r="O14" s="9">
        <v>3503552.3816339639</v>
      </c>
      <c r="P14" s="9">
        <v>3503552.3816339639</v>
      </c>
      <c r="Q14" s="9">
        <v>3720587.649893173</v>
      </c>
      <c r="R14" s="9">
        <v>3720587.649893173</v>
      </c>
      <c r="S14" s="9">
        <v>4070996.1061493768</v>
      </c>
      <c r="T14" s="9">
        <v>3815128.0746380305</v>
      </c>
      <c r="U14" s="9">
        <v>6916250.6602631211</v>
      </c>
      <c r="V14" s="9">
        <v>6916250.6602631211</v>
      </c>
      <c r="W14" s="9">
        <v>3336693.1304730438</v>
      </c>
      <c r="X14" s="9">
        <v>3336693.1304730438</v>
      </c>
      <c r="Y14" s="9">
        <v>15625332.00451934</v>
      </c>
      <c r="Z14" s="9">
        <v>15625332.00451934</v>
      </c>
    </row>
    <row r="15" spans="1:26" ht="15.75">
      <c r="A15" s="7" t="s">
        <v>527</v>
      </c>
      <c r="B15" s="8" t="s">
        <v>422</v>
      </c>
      <c r="G15" s="9">
        <v>13722054.35264051</v>
      </c>
      <c r="H15" s="9">
        <v>13587683.80212754</v>
      </c>
      <c r="I15" s="9">
        <v>14081833.204584062</v>
      </c>
      <c r="J15" s="9">
        <v>13943867.20405072</v>
      </c>
      <c r="K15" s="9">
        <v>11759837.942496061</v>
      </c>
      <c r="L15" s="9">
        <v>11644469.692077935</v>
      </c>
      <c r="M15" s="9">
        <v>14527923.857251883</v>
      </c>
      <c r="N15" s="9">
        <v>14671892.307821214</v>
      </c>
      <c r="O15" s="9">
        <v>11835957.992873371</v>
      </c>
      <c r="P15" s="9">
        <v>11720072.092456043</v>
      </c>
      <c r="Q15" s="9">
        <v>14217731.855324149</v>
      </c>
      <c r="R15" s="9">
        <v>14078261.104780138</v>
      </c>
      <c r="S15" s="9">
        <v>37377280.854314268</v>
      </c>
      <c r="T15" s="9">
        <v>37028164.853343308</v>
      </c>
      <c r="U15" s="9">
        <v>41779267.780896723</v>
      </c>
      <c r="V15" s="9">
        <v>41479176.830650091</v>
      </c>
      <c r="W15" s="9">
        <v>10639666.237210393</v>
      </c>
      <c r="X15" s="9">
        <v>10534065.936836958</v>
      </c>
      <c r="Y15" s="9">
        <v>9922759.8838818669</v>
      </c>
      <c r="Z15" s="9">
        <v>9824713.0835502744</v>
      </c>
    </row>
    <row r="16" spans="1:26" ht="16.5">
      <c r="A16" s="10" t="s">
        <v>528</v>
      </c>
      <c r="B16" s="11" t="s">
        <v>422</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row>
    <row r="17" spans="1:26" ht="16.5">
      <c r="A17" s="10" t="s">
        <v>529</v>
      </c>
      <c r="B17" s="11" t="s">
        <v>422</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row>
    <row r="18" spans="1:26" ht="16.5">
      <c r="A18" s="10" t="s">
        <v>530</v>
      </c>
      <c r="B18" s="11" t="s">
        <v>422</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row>
    <row r="19" spans="1:26" ht="16.5">
      <c r="A19" s="10" t="s">
        <v>531</v>
      </c>
      <c r="B19" s="11" t="s">
        <v>422</v>
      </c>
      <c r="G19" s="13">
        <v>209992427.47553602</v>
      </c>
      <c r="H19" s="13">
        <v>203387116.77093446</v>
      </c>
      <c r="I19" s="13">
        <v>207590754.8026062</v>
      </c>
      <c r="J19" s="13">
        <v>200993285.78506058</v>
      </c>
      <c r="K19" s="13">
        <v>184228069.60524091</v>
      </c>
      <c r="L19" s="13">
        <v>164843002.62828159</v>
      </c>
      <c r="M19" s="13">
        <v>439844103.56010032</v>
      </c>
      <c r="N19" s="13">
        <v>452876405.44894373</v>
      </c>
      <c r="O19" s="13">
        <v>383137272.36181325</v>
      </c>
      <c r="P19" s="13">
        <v>374630642.85484087</v>
      </c>
      <c r="Q19" s="13">
        <v>401790373.62975562</v>
      </c>
      <c r="R19" s="13">
        <v>392193479.48603195</v>
      </c>
      <c r="S19" s="13">
        <v>376328467.24724168</v>
      </c>
      <c r="T19" s="13">
        <v>355425881.67991233</v>
      </c>
      <c r="U19" s="13">
        <v>442228280.09767026</v>
      </c>
      <c r="V19" s="13">
        <v>435042528.08965933</v>
      </c>
      <c r="W19" s="13">
        <v>274469383.78647506</v>
      </c>
      <c r="X19" s="13">
        <v>265873820.94103524</v>
      </c>
      <c r="Y19" s="13">
        <v>229217215.17767507</v>
      </c>
      <c r="Z19" s="13">
        <v>221840168.60819295</v>
      </c>
    </row>
    <row r="20" spans="1:26" ht="15.75">
      <c r="A20" s="7" t="s">
        <v>532</v>
      </c>
      <c r="B20" s="8" t="s">
        <v>422</v>
      </c>
      <c r="G20" s="9">
        <v>97055870.615154102</v>
      </c>
      <c r="H20" s="9">
        <v>92699497.046326444</v>
      </c>
      <c r="I20" s="9">
        <v>96768866.972276211</v>
      </c>
      <c r="J20" s="9">
        <v>92396494.646559656</v>
      </c>
      <c r="K20" s="9">
        <v>81974137.174567282</v>
      </c>
      <c r="L20" s="9">
        <v>70611972.990787178</v>
      </c>
      <c r="M20" s="9">
        <v>190394434.71133396</v>
      </c>
      <c r="N20" s="9">
        <v>198317724.18506029</v>
      </c>
      <c r="O20" s="9">
        <v>157042620.68540436</v>
      </c>
      <c r="P20" s="9">
        <v>151951991.4503468</v>
      </c>
      <c r="Q20" s="9">
        <v>171201741.35167924</v>
      </c>
      <c r="R20" s="9">
        <v>165142665.13116181</v>
      </c>
      <c r="S20" s="9">
        <v>176508557.49323639</v>
      </c>
      <c r="T20" s="9">
        <v>163784111.34892738</v>
      </c>
      <c r="U20" s="9">
        <v>217966323.60088503</v>
      </c>
      <c r="V20" s="9">
        <v>213122414.43011731</v>
      </c>
      <c r="W20" s="9">
        <v>126763287.97420835</v>
      </c>
      <c r="X20" s="9">
        <v>121232896.8467975</v>
      </c>
      <c r="Y20" s="9">
        <v>102870675.46170846</v>
      </c>
      <c r="Z20" s="9">
        <v>98188901.825022534</v>
      </c>
    </row>
    <row r="21" spans="1:26" ht="16.5">
      <c r="A21" s="10" t="s">
        <v>533</v>
      </c>
      <c r="B21" s="11" t="s">
        <v>422</v>
      </c>
      <c r="G21" s="13">
        <v>307048298.09069014</v>
      </c>
      <c r="H21" s="13">
        <v>296086613.81726092</v>
      </c>
      <c r="I21" s="13">
        <v>304359621.77488244</v>
      </c>
      <c r="J21" s="13">
        <v>293389780.43162024</v>
      </c>
      <c r="K21" s="13">
        <v>266202206.77980819</v>
      </c>
      <c r="L21" s="13">
        <v>235454975.61906877</v>
      </c>
      <c r="M21" s="13">
        <v>630238538.27143431</v>
      </c>
      <c r="N21" s="13">
        <v>651194129.634004</v>
      </c>
      <c r="O21" s="13">
        <v>540179893.04721761</v>
      </c>
      <c r="P21" s="13">
        <v>526582634.3051877</v>
      </c>
      <c r="Q21" s="13">
        <v>572992114.98143482</v>
      </c>
      <c r="R21" s="13">
        <v>557336144.6171937</v>
      </c>
      <c r="S21" s="13">
        <v>552837024.74047804</v>
      </c>
      <c r="T21" s="13">
        <v>519209993.02883971</v>
      </c>
      <c r="U21" s="13">
        <v>660194603.69855523</v>
      </c>
      <c r="V21" s="13">
        <v>648164942.51977658</v>
      </c>
      <c r="W21" s="13">
        <v>401232671.76068342</v>
      </c>
      <c r="X21" s="13">
        <v>387106717.78783274</v>
      </c>
      <c r="Y21" s="13">
        <v>332087890.63938355</v>
      </c>
      <c r="Z21" s="13">
        <v>320029070.4332155</v>
      </c>
    </row>
    <row r="22" spans="1:26" ht="15.75">
      <c r="A22" s="7" t="s">
        <v>534</v>
      </c>
      <c r="B22" s="8" t="s">
        <v>422</v>
      </c>
      <c r="G22" s="9">
        <v>82903040.484486327</v>
      </c>
      <c r="H22" s="9">
        <v>79943385.730660453</v>
      </c>
      <c r="I22" s="9">
        <v>82177097.879218265</v>
      </c>
      <c r="J22" s="9">
        <v>79215240.716537461</v>
      </c>
      <c r="K22" s="9">
        <v>71874595.830548212</v>
      </c>
      <c r="L22" s="9">
        <v>63572843.417148568</v>
      </c>
      <c r="M22" s="9">
        <v>170164405.33328724</v>
      </c>
      <c r="N22" s="9">
        <v>175822415.0011811</v>
      </c>
      <c r="O22" s="9">
        <v>145848571.12274876</v>
      </c>
      <c r="P22" s="9">
        <v>142177311.26240069</v>
      </c>
      <c r="Q22" s="9">
        <v>154707871.04498741</v>
      </c>
      <c r="R22" s="9">
        <v>150480759.0466423</v>
      </c>
      <c r="S22" s="9">
        <v>149265996.67992908</v>
      </c>
      <c r="T22" s="9">
        <v>140186698.11778674</v>
      </c>
      <c r="U22" s="9">
        <v>178252542.9986099</v>
      </c>
      <c r="V22" s="9">
        <v>175004534.48033968</v>
      </c>
      <c r="W22" s="9">
        <v>108332821.37538452</v>
      </c>
      <c r="X22" s="9">
        <v>104518813.80271482</v>
      </c>
      <c r="Y22" s="9">
        <v>89663730.472633556</v>
      </c>
      <c r="Z22" s="9">
        <v>86407849.016968191</v>
      </c>
    </row>
    <row r="23" spans="1:26" ht="15.75">
      <c r="A23" s="10" t="s">
        <v>535</v>
      </c>
      <c r="B23" s="14" t="s">
        <v>422</v>
      </c>
      <c r="G23" s="15">
        <v>0</v>
      </c>
      <c r="H23" s="15">
        <v>0</v>
      </c>
      <c r="I23" s="15">
        <v>0</v>
      </c>
      <c r="J23" s="15">
        <v>0</v>
      </c>
      <c r="K23" s="15">
        <v>0</v>
      </c>
      <c r="L23" s="15">
        <v>0</v>
      </c>
      <c r="M23" s="15">
        <v>0</v>
      </c>
      <c r="N23" s="15">
        <v>0</v>
      </c>
      <c r="O23" s="15">
        <v>0</v>
      </c>
      <c r="P23" s="15">
        <v>0</v>
      </c>
      <c r="Q23" s="15">
        <v>0</v>
      </c>
      <c r="R23" s="15">
        <v>0</v>
      </c>
      <c r="S23" s="15">
        <v>0</v>
      </c>
      <c r="T23" s="15">
        <v>0</v>
      </c>
      <c r="U23" s="15">
        <v>0</v>
      </c>
      <c r="V23" s="15">
        <v>0</v>
      </c>
      <c r="W23" s="15">
        <v>0</v>
      </c>
      <c r="X23" s="15">
        <v>0</v>
      </c>
      <c r="Y23" s="15">
        <v>0</v>
      </c>
      <c r="Z23" s="15">
        <v>0</v>
      </c>
    </row>
    <row r="24" spans="1:26" ht="16.5">
      <c r="A24" s="10" t="s">
        <v>536</v>
      </c>
      <c r="B24" s="11" t="s">
        <v>422</v>
      </c>
      <c r="G24" s="13">
        <v>389951338.57517648</v>
      </c>
      <c r="H24" s="13">
        <v>376029999.54792136</v>
      </c>
      <c r="I24" s="13">
        <v>386536719.65410072</v>
      </c>
      <c r="J24" s="13">
        <v>372605021.14815772</v>
      </c>
      <c r="K24" s="13">
        <v>338076802.61035639</v>
      </c>
      <c r="L24" s="13">
        <v>299027819.03621733</v>
      </c>
      <c r="M24" s="13">
        <v>800402943.60472155</v>
      </c>
      <c r="N24" s="13">
        <v>827016544.63518512</v>
      </c>
      <c r="O24" s="13">
        <v>686028464.16996634</v>
      </c>
      <c r="P24" s="13">
        <v>668759945.56758833</v>
      </c>
      <c r="Q24" s="13">
        <v>727699986.02642226</v>
      </c>
      <c r="R24" s="13">
        <v>707816903.663836</v>
      </c>
      <c r="S24" s="13">
        <v>702103021.42040706</v>
      </c>
      <c r="T24" s="13">
        <v>659396691.14662647</v>
      </c>
      <c r="U24" s="13">
        <v>838447146.69716513</v>
      </c>
      <c r="V24" s="13">
        <v>823169477.00011623</v>
      </c>
      <c r="W24" s="13">
        <v>509565493.13606793</v>
      </c>
      <c r="X24" s="13">
        <v>491625531.59054756</v>
      </c>
      <c r="Y24" s="13">
        <v>421751621.1120171</v>
      </c>
      <c r="Z24" s="13">
        <v>406436919.45018369</v>
      </c>
    </row>
    <row r="25" spans="1:26" ht="15.75">
      <c r="A25" s="7"/>
      <c r="B25" s="16"/>
      <c r="G25" s="17"/>
      <c r="H25" s="17"/>
      <c r="I25" s="17"/>
      <c r="J25" s="17"/>
      <c r="K25" s="17"/>
      <c r="L25" s="17"/>
      <c r="M25" s="17"/>
      <c r="N25" s="17"/>
      <c r="O25" s="17"/>
      <c r="P25" s="17"/>
      <c r="Q25" s="17"/>
      <c r="R25" s="17"/>
      <c r="S25" s="17"/>
      <c r="T25" s="17"/>
      <c r="U25" s="17"/>
      <c r="V25" s="17"/>
      <c r="W25" s="17"/>
      <c r="X25" s="17"/>
      <c r="Y25" s="17"/>
      <c r="Z25" s="17"/>
    </row>
    <row r="26" spans="1:26" ht="16.5">
      <c r="A26" s="10" t="s">
        <v>537</v>
      </c>
      <c r="B26" s="18" t="s">
        <v>538</v>
      </c>
      <c r="G26" s="19">
        <v>341.18865966796875</v>
      </c>
      <c r="H26" s="19">
        <v>341.18865966796875</v>
      </c>
      <c r="I26" s="19">
        <v>347.77304077148438</v>
      </c>
      <c r="J26" s="19">
        <v>347.77304077148438</v>
      </c>
      <c r="K26" s="19">
        <v>258.24078369140625</v>
      </c>
      <c r="L26" s="19">
        <v>258.30279541015625</v>
      </c>
      <c r="M26" s="19">
        <v>380.225830078125</v>
      </c>
      <c r="N26" s="19">
        <v>380.225830078125</v>
      </c>
      <c r="O26" s="19">
        <v>264.081298828125</v>
      </c>
      <c r="P26" s="19">
        <v>264.0863037109375</v>
      </c>
      <c r="Q26" s="19">
        <v>356.21731567382813</v>
      </c>
      <c r="R26" s="19">
        <v>356.22232055664063</v>
      </c>
      <c r="S26" s="19">
        <v>389.51309204101563</v>
      </c>
      <c r="T26" s="19">
        <v>389.58108520507813</v>
      </c>
      <c r="U26" s="19">
        <v>489.26708984375</v>
      </c>
      <c r="V26" s="19">
        <v>489.2720947265625</v>
      </c>
      <c r="W26" s="19">
        <v>245.76321411132813</v>
      </c>
      <c r="X26" s="19">
        <v>245.76321411132813</v>
      </c>
      <c r="Y26" s="19">
        <v>217.40798950195313</v>
      </c>
      <c r="Z26" s="19">
        <v>217.40798950195313</v>
      </c>
    </row>
    <row r="27" spans="1:26" ht="16.5">
      <c r="A27" s="10" t="s">
        <v>539</v>
      </c>
      <c r="B27" s="11" t="s">
        <v>540</v>
      </c>
      <c r="G27" s="19">
        <v>899.93699787530261</v>
      </c>
      <c r="H27" s="19">
        <v>867.80907110277542</v>
      </c>
      <c r="I27" s="19">
        <v>875.16738243914619</v>
      </c>
      <c r="J27" s="19">
        <v>843.62427800837384</v>
      </c>
      <c r="K27" s="19">
        <v>1030.8294568139002</v>
      </c>
      <c r="L27" s="19">
        <v>911.54637039522675</v>
      </c>
      <c r="M27" s="19">
        <v>1657.5374117585309</v>
      </c>
      <c r="N27" s="19">
        <v>1712.6509514101215</v>
      </c>
      <c r="O27" s="19">
        <v>2045.506044707804</v>
      </c>
      <c r="P27" s="19">
        <v>1993.9793427589957</v>
      </c>
      <c r="Q27" s="19">
        <v>1608.5464961116531</v>
      </c>
      <c r="R27" s="19">
        <v>1564.5738979699204</v>
      </c>
      <c r="S27" s="19">
        <v>1419.3028065979986</v>
      </c>
      <c r="T27" s="19">
        <v>1332.7392236086719</v>
      </c>
      <c r="U27" s="19">
        <v>1349.3542022403178</v>
      </c>
      <c r="V27" s="19">
        <v>1324.7535461469838</v>
      </c>
      <c r="W27" s="19">
        <v>1632.5985693649386</v>
      </c>
      <c r="X27" s="19">
        <v>1575.1206672145715</v>
      </c>
      <c r="Y27" s="19">
        <v>1527.4870596988808</v>
      </c>
      <c r="Z27" s="19">
        <v>1472.0207438850377</v>
      </c>
    </row>
    <row r="28" spans="1:26" ht="17.25" thickBot="1">
      <c r="A28" s="20" t="s">
        <v>541</v>
      </c>
      <c r="B28" s="21" t="s">
        <v>540</v>
      </c>
      <c r="G28" s="22">
        <v>1142.9199873016344</v>
      </c>
      <c r="H28" s="22">
        <v>1102.1175203005248</v>
      </c>
      <c r="I28" s="22">
        <v>1111.4625756977157</v>
      </c>
      <c r="J28" s="22">
        <v>1071.4028330706346</v>
      </c>
      <c r="K28" s="22">
        <v>1309.1534101536533</v>
      </c>
      <c r="L28" s="22">
        <v>1157.663890401938</v>
      </c>
      <c r="M28" s="22">
        <v>2105.0725129333341</v>
      </c>
      <c r="N28" s="22">
        <v>2175.0667082908544</v>
      </c>
      <c r="O28" s="22">
        <v>2597.7926767789113</v>
      </c>
      <c r="P28" s="22">
        <v>2532.3537653039243</v>
      </c>
      <c r="Q28" s="22">
        <v>2042.8540500617994</v>
      </c>
      <c r="R28" s="22">
        <v>1987.0088504217988</v>
      </c>
      <c r="S28" s="22">
        <v>1802.5145643794581</v>
      </c>
      <c r="T28" s="22">
        <v>1692.5788139830136</v>
      </c>
      <c r="U28" s="22">
        <v>1713.6798368452037</v>
      </c>
      <c r="V28" s="22">
        <v>1682.4370036066691</v>
      </c>
      <c r="W28" s="22">
        <v>2073.4001830934722</v>
      </c>
      <c r="X28" s="22">
        <v>2000.4032473625057</v>
      </c>
      <c r="Y28" s="22">
        <v>1939.9085658175786</v>
      </c>
      <c r="Z28" s="22">
        <v>1869.4663447339979</v>
      </c>
    </row>
    <row r="29" spans="1:26" ht="15" thickTop="1">
      <c r="A29" s="23"/>
      <c r="B29" s="24"/>
      <c r="G29" s="25"/>
      <c r="H29" s="25"/>
      <c r="I29" s="25"/>
      <c r="J29" s="25"/>
      <c r="K29" s="25"/>
      <c r="L29" s="25"/>
      <c r="M29" s="25"/>
      <c r="N29" s="25"/>
      <c r="O29" s="25"/>
      <c r="P29" s="25"/>
      <c r="Q29" s="25"/>
      <c r="R29" s="25"/>
      <c r="S29" s="25"/>
      <c r="T29" s="25"/>
      <c r="U29" s="25"/>
      <c r="V29" s="25"/>
      <c r="W29" s="25"/>
      <c r="X29" s="25"/>
      <c r="Y29" s="25"/>
      <c r="Z29" s="25"/>
    </row>
    <row r="30" spans="1:26" ht="85.5" customHeight="1">
      <c r="A30" s="26" t="s">
        <v>542</v>
      </c>
      <c r="B30" s="24" t="s">
        <v>543</v>
      </c>
      <c r="C30" s="200" t="s">
        <v>544</v>
      </c>
      <c r="D30" s="200"/>
      <c r="E30" s="200"/>
      <c r="F30" s="200"/>
      <c r="G30" s="126">
        <v>250</v>
      </c>
      <c r="H30" s="126">
        <v>250</v>
      </c>
      <c r="I30" s="126">
        <v>250</v>
      </c>
      <c r="J30" s="126">
        <v>250</v>
      </c>
      <c r="K30" s="126">
        <v>250</v>
      </c>
      <c r="L30" s="126">
        <v>250</v>
      </c>
      <c r="M30" s="126">
        <v>250</v>
      </c>
      <c r="N30" s="126">
        <v>250</v>
      </c>
      <c r="O30" s="126">
        <v>250</v>
      </c>
      <c r="P30" s="126">
        <v>250</v>
      </c>
      <c r="Q30" s="126">
        <v>250</v>
      </c>
      <c r="R30" s="126">
        <v>250</v>
      </c>
      <c r="S30" s="126">
        <v>350</v>
      </c>
      <c r="T30" s="126">
        <v>350</v>
      </c>
      <c r="U30" s="126">
        <v>350</v>
      </c>
      <c r="V30" s="126">
        <v>350</v>
      </c>
      <c r="W30" s="126">
        <v>250</v>
      </c>
      <c r="X30" s="126">
        <v>250</v>
      </c>
      <c r="Y30" s="126">
        <v>250</v>
      </c>
      <c r="Z30" s="126">
        <v>250</v>
      </c>
    </row>
    <row r="31" spans="1:26" ht="85.5" customHeight="1">
      <c r="A31" s="153" t="s">
        <v>545</v>
      </c>
      <c r="B31" s="194" t="s">
        <v>422</v>
      </c>
      <c r="C31" s="152"/>
      <c r="D31" s="152"/>
      <c r="E31" s="152"/>
      <c r="F31" s="152"/>
      <c r="G31" s="127">
        <f>G30*G54</f>
        <v>85297250</v>
      </c>
      <c r="H31" s="127">
        <f t="shared" ref="H31:Z31" si="0">H30*H54</f>
        <v>85297250</v>
      </c>
      <c r="I31" s="127">
        <f t="shared" si="0"/>
        <v>86943250</v>
      </c>
      <c r="J31" s="127">
        <f t="shared" si="0"/>
        <v>86943250</v>
      </c>
      <c r="K31" s="127">
        <f t="shared" si="0"/>
        <v>64560250</v>
      </c>
      <c r="L31" s="127">
        <f t="shared" si="0"/>
        <v>64575750</v>
      </c>
      <c r="M31" s="127">
        <f t="shared" si="0"/>
        <v>95056500</v>
      </c>
      <c r="N31" s="127">
        <f t="shared" si="0"/>
        <v>95056500</v>
      </c>
      <c r="O31" s="127">
        <f t="shared" si="0"/>
        <v>66020250</v>
      </c>
      <c r="P31" s="127">
        <f t="shared" si="0"/>
        <v>66021500</v>
      </c>
      <c r="Q31" s="127">
        <f t="shared" si="0"/>
        <v>89054250</v>
      </c>
      <c r="R31" s="127">
        <f t="shared" si="0"/>
        <v>89055500</v>
      </c>
      <c r="S31" s="127">
        <f t="shared" si="0"/>
        <v>136329550</v>
      </c>
      <c r="T31" s="127">
        <f t="shared" si="0"/>
        <v>136353350</v>
      </c>
      <c r="U31" s="127">
        <f t="shared" si="0"/>
        <v>171243450</v>
      </c>
      <c r="V31" s="127">
        <f t="shared" si="0"/>
        <v>171245200</v>
      </c>
      <c r="W31" s="127">
        <f t="shared" si="0"/>
        <v>61440750</v>
      </c>
      <c r="X31" s="127">
        <f t="shared" si="0"/>
        <v>61440750</v>
      </c>
      <c r="Y31" s="127">
        <f t="shared" si="0"/>
        <v>54352000</v>
      </c>
      <c r="Z31" s="127">
        <f t="shared" si="0"/>
        <v>54352000</v>
      </c>
    </row>
    <row r="32" spans="1:26" s="39" customFormat="1" ht="59.45" customHeight="1">
      <c r="A32" s="26" t="s">
        <v>546</v>
      </c>
      <c r="B32" s="128"/>
      <c r="C32" s="129" t="s">
        <v>422</v>
      </c>
      <c r="D32" s="129"/>
      <c r="E32" s="129"/>
      <c r="F32" s="129"/>
      <c r="G32" s="130">
        <f>G19+G31</f>
        <v>295289677.47553599</v>
      </c>
      <c r="H32" s="130">
        <f t="shared" ref="H32:Z32" si="1">H19+H31</f>
        <v>288684366.77093446</v>
      </c>
      <c r="I32" s="130">
        <f t="shared" si="1"/>
        <v>294534004.80260623</v>
      </c>
      <c r="J32" s="130">
        <f t="shared" si="1"/>
        <v>287936535.78506058</v>
      </c>
      <c r="K32" s="130">
        <f t="shared" si="1"/>
        <v>248788319.60524091</v>
      </c>
      <c r="L32" s="130">
        <f t="shared" si="1"/>
        <v>229418752.62828159</v>
      </c>
      <c r="M32" s="130">
        <f t="shared" si="1"/>
        <v>534900603.56010032</v>
      </c>
      <c r="N32" s="130">
        <f t="shared" si="1"/>
        <v>547932905.44894373</v>
      </c>
      <c r="O32" s="130">
        <f t="shared" si="1"/>
        <v>449157522.36181325</v>
      </c>
      <c r="P32" s="130">
        <f t="shared" si="1"/>
        <v>440652142.85484087</v>
      </c>
      <c r="Q32" s="130">
        <f t="shared" si="1"/>
        <v>490844623.62975562</v>
      </c>
      <c r="R32" s="130">
        <f t="shared" si="1"/>
        <v>481248979.48603195</v>
      </c>
      <c r="S32" s="130">
        <f t="shared" si="1"/>
        <v>512658017.24724168</v>
      </c>
      <c r="T32" s="130">
        <f t="shared" si="1"/>
        <v>491779231.67991233</v>
      </c>
      <c r="U32" s="130">
        <f t="shared" si="1"/>
        <v>613471730.09767032</v>
      </c>
      <c r="V32" s="130">
        <f t="shared" si="1"/>
        <v>606287728.08965933</v>
      </c>
      <c r="W32" s="130">
        <f t="shared" si="1"/>
        <v>335910133.78647506</v>
      </c>
      <c r="X32" s="130">
        <f t="shared" si="1"/>
        <v>327314570.94103527</v>
      </c>
      <c r="Y32" s="130">
        <f t="shared" si="1"/>
        <v>283569215.17767507</v>
      </c>
      <c r="Z32" s="130">
        <f t="shared" si="1"/>
        <v>276192168.60819292</v>
      </c>
    </row>
    <row r="33" spans="1:26" ht="59.45" customHeight="1">
      <c r="A33" s="26" t="s">
        <v>547</v>
      </c>
      <c r="B33" s="24"/>
      <c r="C33" s="125" t="s">
        <v>422</v>
      </c>
      <c r="D33" s="125"/>
      <c r="E33" s="125"/>
      <c r="F33" s="125"/>
      <c r="G33" s="127">
        <f t="shared" ref="G33:Z33" si="2">G32*OwnersCostPerc_ThermalPlant</f>
        <v>35434761.297064319</v>
      </c>
      <c r="H33" s="127">
        <f t="shared" si="2"/>
        <v>34642124.012512133</v>
      </c>
      <c r="I33" s="127">
        <f t="shared" si="2"/>
        <v>35344080.576312743</v>
      </c>
      <c r="J33" s="127">
        <f t="shared" si="2"/>
        <v>34552384.294207267</v>
      </c>
      <c r="K33" s="127">
        <f t="shared" si="2"/>
        <v>29854598.352628909</v>
      </c>
      <c r="L33" s="127">
        <f t="shared" si="2"/>
        <v>27530250.315393791</v>
      </c>
      <c r="M33" s="127">
        <f t="shared" si="2"/>
        <v>64188072.427212037</v>
      </c>
      <c r="N33" s="127">
        <f t="shared" si="2"/>
        <v>65751948.653873242</v>
      </c>
      <c r="O33" s="127">
        <f t="shared" si="2"/>
        <v>53898902.683417588</v>
      </c>
      <c r="P33" s="127">
        <f t="shared" si="2"/>
        <v>52878257.142580904</v>
      </c>
      <c r="Q33" s="127">
        <f t="shared" si="2"/>
        <v>58901354.835570671</v>
      </c>
      <c r="R33" s="127">
        <f t="shared" si="2"/>
        <v>57749877.538323835</v>
      </c>
      <c r="S33" s="127">
        <f t="shared" si="2"/>
        <v>61518962.069669001</v>
      </c>
      <c r="T33" s="127">
        <f t="shared" si="2"/>
        <v>59013507.801589474</v>
      </c>
      <c r="U33" s="127">
        <f t="shared" si="2"/>
        <v>73616607.611720428</v>
      </c>
      <c r="V33" s="127">
        <f t="shared" si="2"/>
        <v>72754527.370759115</v>
      </c>
      <c r="W33" s="127">
        <f t="shared" si="2"/>
        <v>40309216.054377005</v>
      </c>
      <c r="X33" s="127">
        <f t="shared" si="2"/>
        <v>39277748.512924232</v>
      </c>
      <c r="Y33" s="127">
        <f t="shared" si="2"/>
        <v>34028305.821321011</v>
      </c>
      <c r="Z33" s="127">
        <f t="shared" si="2"/>
        <v>33143060.23298315</v>
      </c>
    </row>
    <row r="34" spans="1:26" ht="59.45" customHeight="1">
      <c r="A34" s="26" t="s">
        <v>548</v>
      </c>
      <c r="B34" s="24"/>
      <c r="C34" s="125" t="s">
        <v>422</v>
      </c>
      <c r="D34" s="125"/>
      <c r="E34" s="125"/>
      <c r="F34" s="125"/>
      <c r="G34" s="127">
        <f>G32+G33</f>
        <v>330724438.77260029</v>
      </c>
      <c r="H34" s="127">
        <f t="shared" ref="H34:Z34" si="3">H32+H33</f>
        <v>323326490.78344661</v>
      </c>
      <c r="I34" s="127">
        <f t="shared" si="3"/>
        <v>329878085.37891895</v>
      </c>
      <c r="J34" s="127">
        <f t="shared" si="3"/>
        <v>322488920.07926786</v>
      </c>
      <c r="K34" s="127">
        <f t="shared" si="3"/>
        <v>278642917.95786983</v>
      </c>
      <c r="L34" s="127">
        <f t="shared" si="3"/>
        <v>256949002.9436754</v>
      </c>
      <c r="M34" s="127">
        <f t="shared" si="3"/>
        <v>599088675.98731232</v>
      </c>
      <c r="N34" s="127">
        <f t="shared" si="3"/>
        <v>613684854.10281694</v>
      </c>
      <c r="O34" s="127">
        <f t="shared" si="3"/>
        <v>503056425.04523087</v>
      </c>
      <c r="P34" s="127">
        <f t="shared" si="3"/>
        <v>493530399.9974218</v>
      </c>
      <c r="Q34" s="127">
        <f t="shared" si="3"/>
        <v>549745978.46532631</v>
      </c>
      <c r="R34" s="127">
        <f t="shared" si="3"/>
        <v>538998857.02435577</v>
      </c>
      <c r="S34" s="127">
        <f t="shared" si="3"/>
        <v>574176979.31691062</v>
      </c>
      <c r="T34" s="127">
        <f t="shared" si="3"/>
        <v>550792739.48150182</v>
      </c>
      <c r="U34" s="127">
        <f t="shared" si="3"/>
        <v>687088337.70939076</v>
      </c>
      <c r="V34" s="127">
        <f t="shared" si="3"/>
        <v>679042255.46041846</v>
      </c>
      <c r="W34" s="127">
        <f t="shared" si="3"/>
        <v>376219349.84085208</v>
      </c>
      <c r="X34" s="127">
        <f t="shared" si="3"/>
        <v>366592319.45395952</v>
      </c>
      <c r="Y34" s="127">
        <f t="shared" si="3"/>
        <v>317597520.99899608</v>
      </c>
      <c r="Z34" s="127">
        <f t="shared" si="3"/>
        <v>309335228.84117609</v>
      </c>
    </row>
    <row r="35" spans="1:26">
      <c r="A35" s="23"/>
      <c r="B35" s="24"/>
      <c r="G35" s="25"/>
      <c r="H35" s="25"/>
      <c r="I35" s="25"/>
      <c r="J35" s="25"/>
      <c r="K35" s="25"/>
      <c r="L35" s="25"/>
      <c r="M35" s="25"/>
      <c r="N35" s="25"/>
      <c r="O35" s="25"/>
      <c r="P35" s="25"/>
      <c r="Q35" s="25"/>
      <c r="R35" s="25"/>
      <c r="S35" s="25"/>
      <c r="T35" s="25"/>
      <c r="U35" s="25"/>
      <c r="V35" s="25"/>
      <c r="W35" s="25"/>
      <c r="X35" s="25"/>
      <c r="Y35" s="25"/>
      <c r="Z35" s="25"/>
    </row>
    <row r="36" spans="1:26" ht="15" thickBot="1">
      <c r="A36" s="27" t="s">
        <v>64</v>
      </c>
      <c r="B36" s="28"/>
      <c r="G36" s="29">
        <v>289323.07321111765</v>
      </c>
      <c r="H36" s="29">
        <v>265910.87306786934</v>
      </c>
      <c r="I36" s="29">
        <v>293214.76270262623</v>
      </c>
      <c r="J36" s="29">
        <v>269613.66348424129</v>
      </c>
      <c r="K36" s="29">
        <v>223981.76885004467</v>
      </c>
      <c r="L36" s="29">
        <v>170040.4720397084</v>
      </c>
      <c r="M36" s="29">
        <v>492918.20093287039</v>
      </c>
      <c r="N36" s="29">
        <v>531601.9286272584</v>
      </c>
      <c r="O36" s="29">
        <v>343577.80467406474</v>
      </c>
      <c r="P36" s="29">
        <v>319027.403221821</v>
      </c>
      <c r="Q36" s="29">
        <v>419198.96326877852</v>
      </c>
      <c r="R36" s="29">
        <v>388004.36223801732</v>
      </c>
      <c r="S36" s="29">
        <v>547203.06812985858</v>
      </c>
      <c r="T36" s="29">
        <v>484381.48183253314</v>
      </c>
      <c r="U36" s="29">
        <v>744803.2032904271</v>
      </c>
      <c r="V36" s="29">
        <v>717932.99884421623</v>
      </c>
      <c r="W36" s="29">
        <v>391111.93956473446</v>
      </c>
      <c r="X36" s="29">
        <v>361874.32258967485</v>
      </c>
      <c r="Y36" s="29">
        <v>308344.94930987881</v>
      </c>
      <c r="Z36" s="29">
        <v>283929.92675330001</v>
      </c>
    </row>
    <row r="37" spans="1:26" ht="15" thickBot="1">
      <c r="A37" s="23"/>
      <c r="B37" s="28"/>
      <c r="C37" s="1" t="s">
        <v>549</v>
      </c>
      <c r="G37" s="98">
        <f>G36*G40/SUM(G11:G15)</f>
        <v>0.2983108741971322</v>
      </c>
      <c r="H37" s="98">
        <f t="shared" ref="H37:Z37" si="4">H36*H40/SUM(H11:H15)</f>
        <v>0.2914970081884693</v>
      </c>
      <c r="I37" s="98">
        <f t="shared" si="4"/>
        <v>0.29696920880096023</v>
      </c>
      <c r="J37" s="98">
        <f t="shared" si="4"/>
        <v>0.2901384000574736</v>
      </c>
      <c r="K37" s="98">
        <f t="shared" si="4"/>
        <v>0.29120958426273652</v>
      </c>
      <c r="L37" s="98">
        <f t="shared" si="4"/>
        <v>0.26673381181456474</v>
      </c>
      <c r="M37" s="98">
        <f t="shared" si="4"/>
        <v>0.33809090798474095</v>
      </c>
      <c r="N37" s="98">
        <f t="shared" si="4"/>
        <v>0.34096162619103088</v>
      </c>
      <c r="O37" s="98">
        <f t="shared" si="4"/>
        <v>0.32606622643228172</v>
      </c>
      <c r="P37" s="98">
        <f t="shared" si="4"/>
        <v>0.32172587380467271</v>
      </c>
      <c r="Q37" s="98">
        <f t="shared" si="4"/>
        <v>0.31042992289763027</v>
      </c>
      <c r="R37" s="98">
        <f t="shared" si="4"/>
        <v>0.30517661365423854</v>
      </c>
      <c r="S37" s="98">
        <f t="shared" si="4"/>
        <v>0.28583904199674037</v>
      </c>
      <c r="T37" s="98">
        <f t="shared" si="4"/>
        <v>0.27534295694495103</v>
      </c>
      <c r="U37" s="98">
        <f t="shared" si="4"/>
        <v>0.29894246083593362</v>
      </c>
      <c r="V37" s="98">
        <f t="shared" si="4"/>
        <v>0.29622929873282078</v>
      </c>
      <c r="W37" s="98">
        <f t="shared" si="4"/>
        <v>0.33929610578509828</v>
      </c>
      <c r="X37" s="98">
        <f t="shared" si="4"/>
        <v>0.33314573646463247</v>
      </c>
      <c r="Y37" s="98">
        <f t="shared" si="4"/>
        <v>0.26952390917861929</v>
      </c>
      <c r="Z37" s="98">
        <f t="shared" si="4"/>
        <v>0.2611390879895818</v>
      </c>
    </row>
    <row r="38" spans="1:26">
      <c r="A38" s="30" t="s">
        <v>550</v>
      </c>
      <c r="B38" s="31" t="s">
        <v>551</v>
      </c>
      <c r="G38" s="31"/>
      <c r="H38" s="31"/>
      <c r="I38" s="31"/>
      <c r="J38" s="31"/>
      <c r="K38" s="31"/>
      <c r="L38" s="31"/>
      <c r="M38" s="31"/>
      <c r="N38" s="31"/>
      <c r="O38" s="31"/>
      <c r="P38" s="31"/>
      <c r="Q38" s="31"/>
      <c r="R38" s="31"/>
      <c r="S38" s="31"/>
      <c r="T38" s="31"/>
      <c r="U38" s="31"/>
      <c r="V38" s="31"/>
      <c r="W38" s="31"/>
      <c r="X38" s="31"/>
      <c r="Y38" s="31"/>
      <c r="Z38" s="31"/>
    </row>
    <row r="39" spans="1:26">
      <c r="A39" s="32" t="s">
        <v>552</v>
      </c>
      <c r="B39" s="28"/>
      <c r="G39" s="33">
        <v>65.02873194573634</v>
      </c>
      <c r="H39" s="33">
        <v>65.03172456119934</v>
      </c>
      <c r="I39" s="33">
        <v>65.026472941773832</v>
      </c>
      <c r="J39" s="33">
        <v>65.029220663878633</v>
      </c>
      <c r="K39" s="33">
        <v>65.031420569584085</v>
      </c>
      <c r="L39" s="33">
        <v>65.036355242395601</v>
      </c>
      <c r="M39" s="33">
        <v>65.025132448921084</v>
      </c>
      <c r="N39" s="33">
        <v>65.023317466465997</v>
      </c>
      <c r="O39" s="33">
        <v>65.026251334852645</v>
      </c>
      <c r="P39" s="33">
        <v>65.028254831883828</v>
      </c>
      <c r="Q39" s="33">
        <v>65.033297265342725</v>
      </c>
      <c r="R39" s="33">
        <v>65.036461923660241</v>
      </c>
      <c r="S39" s="33">
        <v>65.02109303872551</v>
      </c>
      <c r="T39" s="33">
        <v>65.021978731078136</v>
      </c>
      <c r="U39" s="33">
        <v>65.016556360120717</v>
      </c>
      <c r="V39" s="33">
        <v>65.017310549827712</v>
      </c>
      <c r="W39" s="33">
        <v>65.033225145862687</v>
      </c>
      <c r="X39" s="33">
        <v>65.037653762860529</v>
      </c>
      <c r="Y39" s="33">
        <v>65.032166135064941</v>
      </c>
      <c r="Z39" s="33">
        <v>65.036410246503877</v>
      </c>
    </row>
    <row r="40" spans="1:26">
      <c r="A40" s="32" t="s">
        <v>553</v>
      </c>
      <c r="B40" s="28"/>
      <c r="G40" s="33">
        <v>72</v>
      </c>
      <c r="H40" s="33">
        <v>72</v>
      </c>
      <c r="I40" s="33">
        <v>72</v>
      </c>
      <c r="J40" s="33">
        <v>72</v>
      </c>
      <c r="K40" s="33">
        <v>72</v>
      </c>
      <c r="L40" s="33">
        <v>72</v>
      </c>
      <c r="M40" s="33">
        <v>72</v>
      </c>
      <c r="N40" s="33">
        <v>72</v>
      </c>
      <c r="O40" s="33">
        <v>72</v>
      </c>
      <c r="P40" s="33">
        <v>72</v>
      </c>
      <c r="Q40" s="33">
        <v>72</v>
      </c>
      <c r="R40" s="33">
        <v>71.999999999999986</v>
      </c>
      <c r="S40" s="33">
        <v>72</v>
      </c>
      <c r="T40" s="33">
        <v>72</v>
      </c>
      <c r="U40" s="33">
        <v>72.000000000000014</v>
      </c>
      <c r="V40" s="33">
        <v>72</v>
      </c>
      <c r="W40" s="33">
        <v>72</v>
      </c>
      <c r="X40" s="33">
        <v>72.000000000000014</v>
      </c>
      <c r="Y40" s="33">
        <v>72</v>
      </c>
      <c r="Z40" s="33">
        <v>72</v>
      </c>
    </row>
    <row r="41" spans="1:26" ht="15" thickBot="1">
      <c r="A41" s="34" t="s">
        <v>554</v>
      </c>
      <c r="B41" s="28"/>
      <c r="G41" s="35">
        <v>74</v>
      </c>
      <c r="H41" s="35">
        <v>74</v>
      </c>
      <c r="I41" s="35">
        <v>74</v>
      </c>
      <c r="J41" s="35">
        <v>74</v>
      </c>
      <c r="K41" s="35">
        <v>74</v>
      </c>
      <c r="L41" s="35">
        <v>74</v>
      </c>
      <c r="M41" s="35">
        <v>74</v>
      </c>
      <c r="N41" s="35">
        <v>74</v>
      </c>
      <c r="O41" s="35">
        <v>74</v>
      </c>
      <c r="P41" s="35">
        <v>74</v>
      </c>
      <c r="Q41" s="35">
        <v>74</v>
      </c>
      <c r="R41" s="35">
        <v>74</v>
      </c>
      <c r="S41" s="35">
        <v>74</v>
      </c>
      <c r="T41" s="35">
        <v>74</v>
      </c>
      <c r="U41" s="35">
        <v>74</v>
      </c>
      <c r="V41" s="35">
        <v>74</v>
      </c>
      <c r="W41" s="35">
        <v>74</v>
      </c>
      <c r="X41" s="35">
        <v>74</v>
      </c>
      <c r="Y41" s="35">
        <v>74</v>
      </c>
      <c r="Z41" s="35">
        <v>74</v>
      </c>
    </row>
    <row r="47" spans="1:26">
      <c r="A47" s="1" t="s">
        <v>555</v>
      </c>
    </row>
    <row r="48" spans="1:26" s="38" customFormat="1" ht="15">
      <c r="A48" s="37" t="s">
        <v>556</v>
      </c>
      <c r="B48" s="37"/>
      <c r="C48" s="37"/>
      <c r="D48" s="37"/>
      <c r="G48" s="37" t="s">
        <v>72</v>
      </c>
      <c r="H48" s="37" t="s">
        <v>72</v>
      </c>
      <c r="I48" s="37" t="s">
        <v>72</v>
      </c>
      <c r="J48" s="37" t="s">
        <v>72</v>
      </c>
      <c r="K48" s="37" t="s">
        <v>72</v>
      </c>
      <c r="L48" s="37" t="s">
        <v>72</v>
      </c>
      <c r="M48" s="37" t="s">
        <v>72</v>
      </c>
      <c r="N48" s="37" t="s">
        <v>72</v>
      </c>
      <c r="O48" s="37" t="s">
        <v>72</v>
      </c>
      <c r="P48" s="37" t="s">
        <v>72</v>
      </c>
      <c r="Q48" s="37" t="s">
        <v>72</v>
      </c>
      <c r="R48" s="37" t="s">
        <v>72</v>
      </c>
      <c r="S48" s="37" t="s">
        <v>73</v>
      </c>
      <c r="T48" s="37" t="s">
        <v>73</v>
      </c>
      <c r="U48" s="37" t="s">
        <v>73</v>
      </c>
      <c r="V48" s="37" t="s">
        <v>73</v>
      </c>
      <c r="W48" s="37" t="s">
        <v>74</v>
      </c>
      <c r="X48" s="37" t="s">
        <v>74</v>
      </c>
      <c r="Y48" s="37" t="s">
        <v>74</v>
      </c>
      <c r="Z48" s="37" t="s">
        <v>74</v>
      </c>
    </row>
    <row r="49" spans="1:26" s="38" customFormat="1" ht="15">
      <c r="A49" s="37"/>
      <c r="B49" s="37"/>
      <c r="C49" s="37"/>
      <c r="D49" s="37"/>
      <c r="G49" s="37" t="s">
        <v>76</v>
      </c>
      <c r="H49" s="37" t="s">
        <v>76</v>
      </c>
      <c r="I49" s="37" t="s">
        <v>77</v>
      </c>
      <c r="J49" s="37" t="s">
        <v>77</v>
      </c>
      <c r="K49" s="37" t="s">
        <v>78</v>
      </c>
      <c r="L49" s="37" t="s">
        <v>78</v>
      </c>
      <c r="M49" s="37" t="s">
        <v>79</v>
      </c>
      <c r="N49" s="37" t="s">
        <v>79</v>
      </c>
      <c r="O49" s="37" t="s">
        <v>80</v>
      </c>
      <c r="P49" s="37" t="s">
        <v>80</v>
      </c>
      <c r="Q49" s="37" t="s">
        <v>81</v>
      </c>
      <c r="R49" s="37" t="s">
        <v>81</v>
      </c>
      <c r="S49" s="37" t="s">
        <v>82</v>
      </c>
      <c r="T49" s="37" t="s">
        <v>82</v>
      </c>
      <c r="U49" s="37" t="s">
        <v>76</v>
      </c>
      <c r="V49" s="37" t="s">
        <v>76</v>
      </c>
      <c r="W49" s="37" t="s">
        <v>83</v>
      </c>
      <c r="X49" s="37" t="s">
        <v>83</v>
      </c>
      <c r="Y49" s="37" t="s">
        <v>84</v>
      </c>
      <c r="Z49" s="37" t="s">
        <v>84</v>
      </c>
    </row>
    <row r="50" spans="1:26" s="38" customFormat="1" ht="15">
      <c r="A50" s="37"/>
      <c r="B50" s="37"/>
      <c r="C50" s="37"/>
      <c r="D50" s="37"/>
      <c r="G50" s="37" t="s">
        <v>517</v>
      </c>
      <c r="H50" s="37" t="s">
        <v>518</v>
      </c>
      <c r="I50" s="37" t="s">
        <v>517</v>
      </c>
      <c r="J50" s="37" t="s">
        <v>518</v>
      </c>
      <c r="K50" s="37" t="s">
        <v>517</v>
      </c>
      <c r="L50" s="37" t="s">
        <v>518</v>
      </c>
      <c r="M50" s="37" t="s">
        <v>518</v>
      </c>
      <c r="N50" s="37" t="s">
        <v>517</v>
      </c>
      <c r="O50" s="37" t="s">
        <v>517</v>
      </c>
      <c r="P50" s="37" t="s">
        <v>518</v>
      </c>
      <c r="Q50" s="37" t="s">
        <v>517</v>
      </c>
      <c r="R50" s="37" t="s">
        <v>518</v>
      </c>
      <c r="S50" s="37" t="s">
        <v>517</v>
      </c>
      <c r="T50" s="37" t="s">
        <v>518</v>
      </c>
      <c r="U50" s="37" t="s">
        <v>517</v>
      </c>
      <c r="V50" s="37" t="s">
        <v>518</v>
      </c>
      <c r="W50" s="37" t="s">
        <v>517</v>
      </c>
      <c r="X50" s="37" t="s">
        <v>518</v>
      </c>
      <c r="Y50" s="37" t="s">
        <v>517</v>
      </c>
      <c r="Z50" s="37" t="s">
        <v>518</v>
      </c>
    </row>
    <row r="51" spans="1:26">
      <c r="A51" s="1" t="s">
        <v>557</v>
      </c>
      <c r="G51" s="1" t="s">
        <v>558</v>
      </c>
      <c r="H51" s="1" t="s">
        <v>558</v>
      </c>
      <c r="I51" s="1" t="s">
        <v>559</v>
      </c>
      <c r="J51" s="1" t="s">
        <v>559</v>
      </c>
      <c r="K51" s="1" t="s">
        <v>560</v>
      </c>
      <c r="L51" s="1" t="s">
        <v>560</v>
      </c>
      <c r="M51" s="1" t="s">
        <v>561</v>
      </c>
      <c r="N51" s="1" t="s">
        <v>561</v>
      </c>
      <c r="O51" s="1" t="s">
        <v>562</v>
      </c>
      <c r="P51" s="1" t="s">
        <v>562</v>
      </c>
      <c r="Q51" s="1" t="s">
        <v>563</v>
      </c>
      <c r="R51" s="1" t="s">
        <v>563</v>
      </c>
      <c r="S51" s="1" t="s">
        <v>560</v>
      </c>
      <c r="T51" s="1" t="s">
        <v>560</v>
      </c>
      <c r="U51" s="1" t="s">
        <v>558</v>
      </c>
      <c r="V51" s="1" t="s">
        <v>558</v>
      </c>
      <c r="W51" s="1" t="s">
        <v>564</v>
      </c>
      <c r="X51" s="1" t="s">
        <v>564</v>
      </c>
      <c r="Y51" s="1" t="s">
        <v>565</v>
      </c>
      <c r="Z51" s="1" t="s">
        <v>565</v>
      </c>
    </row>
    <row r="52" spans="1:26">
      <c r="A52" s="1" t="s">
        <v>566</v>
      </c>
      <c r="G52" s="1">
        <v>509</v>
      </c>
      <c r="H52" s="1">
        <v>509</v>
      </c>
      <c r="I52" s="1">
        <v>745</v>
      </c>
      <c r="J52" s="1">
        <v>745</v>
      </c>
      <c r="K52" s="1">
        <v>785</v>
      </c>
      <c r="L52" s="1">
        <v>785</v>
      </c>
      <c r="M52" s="1">
        <v>833</v>
      </c>
      <c r="N52" s="1">
        <v>833</v>
      </c>
      <c r="O52" s="1">
        <v>799</v>
      </c>
      <c r="P52" s="1">
        <v>799</v>
      </c>
      <c r="Q52" s="1">
        <v>439</v>
      </c>
      <c r="R52" s="1">
        <v>439</v>
      </c>
      <c r="S52" s="1">
        <v>785</v>
      </c>
      <c r="T52" s="1">
        <v>785</v>
      </c>
      <c r="U52" s="1">
        <v>509</v>
      </c>
      <c r="V52" s="1">
        <v>509</v>
      </c>
      <c r="W52" s="1">
        <v>640</v>
      </c>
      <c r="X52" s="1">
        <v>640</v>
      </c>
      <c r="Y52" s="1">
        <v>468</v>
      </c>
      <c r="Z52" s="1">
        <v>468</v>
      </c>
    </row>
    <row r="53" spans="1:26">
      <c r="A53" s="1" t="s">
        <v>567</v>
      </c>
      <c r="G53" s="1">
        <v>346217</v>
      </c>
      <c r="H53" s="1">
        <v>346217</v>
      </c>
      <c r="I53" s="1">
        <v>352954</v>
      </c>
      <c r="J53" s="1">
        <v>352954</v>
      </c>
      <c r="K53" s="1">
        <v>261961</v>
      </c>
      <c r="L53" s="1">
        <v>261961</v>
      </c>
      <c r="M53" s="1">
        <v>386282</v>
      </c>
      <c r="N53" s="1">
        <v>386282</v>
      </c>
      <c r="O53" s="1">
        <v>268351</v>
      </c>
      <c r="P53" s="1">
        <v>268351</v>
      </c>
      <c r="Q53" s="1">
        <v>367370</v>
      </c>
      <c r="R53" s="1">
        <v>367370</v>
      </c>
      <c r="S53" s="1">
        <v>399231</v>
      </c>
      <c r="T53" s="1">
        <v>399231</v>
      </c>
      <c r="U53" s="1">
        <v>500635</v>
      </c>
      <c r="V53" s="1">
        <v>500635</v>
      </c>
      <c r="W53" s="1">
        <v>249290</v>
      </c>
      <c r="X53" s="1">
        <v>249290</v>
      </c>
      <c r="Y53" s="1">
        <v>220528</v>
      </c>
      <c r="Z53" s="1">
        <v>220528</v>
      </c>
    </row>
    <row r="54" spans="1:26">
      <c r="A54" s="1" t="s">
        <v>568</v>
      </c>
      <c r="G54" s="1">
        <v>341189</v>
      </c>
      <c r="H54" s="1">
        <v>341189</v>
      </c>
      <c r="I54" s="1">
        <v>347773</v>
      </c>
      <c r="J54" s="1">
        <v>347773</v>
      </c>
      <c r="K54" s="1">
        <v>258241</v>
      </c>
      <c r="L54" s="1">
        <v>258303</v>
      </c>
      <c r="M54" s="1">
        <v>380226</v>
      </c>
      <c r="N54" s="1">
        <v>380226</v>
      </c>
      <c r="O54" s="1">
        <v>264081</v>
      </c>
      <c r="P54" s="1">
        <v>264086</v>
      </c>
      <c r="Q54" s="1">
        <v>356217</v>
      </c>
      <c r="R54" s="1">
        <v>356222</v>
      </c>
      <c r="S54" s="1">
        <v>389513</v>
      </c>
      <c r="T54" s="1">
        <v>389581</v>
      </c>
      <c r="U54" s="1">
        <v>489267</v>
      </c>
      <c r="V54" s="1">
        <v>489272</v>
      </c>
      <c r="W54" s="1">
        <v>245763</v>
      </c>
      <c r="X54" s="1">
        <v>245763</v>
      </c>
      <c r="Y54" s="1">
        <v>217408</v>
      </c>
      <c r="Z54" s="1">
        <v>217408</v>
      </c>
    </row>
    <row r="55" spans="1:26">
      <c r="A55" s="1" t="s">
        <v>569</v>
      </c>
      <c r="G55" s="1">
        <v>9771</v>
      </c>
      <c r="H55" s="1">
        <v>9771</v>
      </c>
      <c r="I55" s="1">
        <v>10057</v>
      </c>
      <c r="J55" s="1">
        <v>10057</v>
      </c>
      <c r="K55" s="1">
        <v>9610</v>
      </c>
      <c r="L55" s="1">
        <v>9608</v>
      </c>
      <c r="M55" s="1">
        <v>9392</v>
      </c>
      <c r="N55" s="1">
        <v>9392</v>
      </c>
      <c r="O55" s="1">
        <v>8980</v>
      </c>
      <c r="P55" s="1">
        <v>8980</v>
      </c>
      <c r="Q55" s="1">
        <v>8720</v>
      </c>
      <c r="R55" s="1">
        <v>8720</v>
      </c>
      <c r="S55" s="1">
        <v>6319</v>
      </c>
      <c r="T55" s="1">
        <v>6318</v>
      </c>
      <c r="U55" s="1">
        <v>6818</v>
      </c>
      <c r="V55" s="1">
        <v>6818</v>
      </c>
      <c r="W55" s="1">
        <v>7836</v>
      </c>
      <c r="X55" s="1">
        <v>7836</v>
      </c>
      <c r="Y55" s="1">
        <v>7868</v>
      </c>
      <c r="Z55" s="1">
        <v>7868</v>
      </c>
    </row>
    <row r="56" spans="1:26">
      <c r="A56" s="1" t="s">
        <v>570</v>
      </c>
      <c r="G56" s="1">
        <v>26.6</v>
      </c>
      <c r="H56" s="1">
        <v>26.6</v>
      </c>
      <c r="I56" s="1">
        <v>20.75</v>
      </c>
      <c r="J56" s="1">
        <v>20.75</v>
      </c>
      <c r="K56" s="1">
        <v>28.37</v>
      </c>
      <c r="L56" s="1">
        <v>28.37</v>
      </c>
      <c r="M56" s="1">
        <v>37.61</v>
      </c>
      <c r="N56" s="1">
        <v>37.61</v>
      </c>
      <c r="O56" s="1">
        <v>50.91</v>
      </c>
      <c r="P56" s="1">
        <v>50.91</v>
      </c>
      <c r="Q56" s="1">
        <v>60.21</v>
      </c>
      <c r="R56" s="1">
        <v>60.21</v>
      </c>
      <c r="S56" s="1">
        <v>28.37</v>
      </c>
      <c r="T56" s="1">
        <v>28.37</v>
      </c>
      <c r="U56" s="1">
        <v>26.6</v>
      </c>
      <c r="V56" s="1">
        <v>26.6</v>
      </c>
      <c r="W56" s="1">
        <v>11.35</v>
      </c>
      <c r="X56" s="1">
        <v>11.35</v>
      </c>
      <c r="Y56" s="1">
        <v>6.9930000000000003</v>
      </c>
      <c r="Z56" s="1">
        <v>6.9930000000000003</v>
      </c>
    </row>
    <row r="57" spans="1:26">
      <c r="A57" s="1" t="s">
        <v>571</v>
      </c>
    </row>
    <row r="58" spans="1:26">
      <c r="A58" s="36" t="s">
        <v>572</v>
      </c>
      <c r="G58" s="1">
        <v>6.5750000000000002</v>
      </c>
      <c r="H58" s="1">
        <v>6.5750000000000002</v>
      </c>
      <c r="I58" s="1">
        <v>6.5650000000000004</v>
      </c>
      <c r="J58" s="1">
        <v>6.5650000000000004</v>
      </c>
      <c r="K58" s="1">
        <v>3.899</v>
      </c>
      <c r="L58" s="1">
        <v>3.899</v>
      </c>
      <c r="M58" s="1">
        <v>6.601</v>
      </c>
      <c r="N58" s="1">
        <v>6.601</v>
      </c>
      <c r="O58" s="1">
        <v>4.6870000000000003</v>
      </c>
      <c r="P58" s="1">
        <v>4.6870000000000003</v>
      </c>
      <c r="Q58" s="1">
        <v>5.2489999999999997</v>
      </c>
      <c r="R58" s="1">
        <v>5.2489999999999997</v>
      </c>
      <c r="S58" s="1">
        <v>3.899</v>
      </c>
      <c r="T58" s="1">
        <v>3.899</v>
      </c>
      <c r="U58" s="1">
        <v>6.5750000000000002</v>
      </c>
      <c r="V58" s="1">
        <v>6.5750000000000002</v>
      </c>
      <c r="W58" s="1">
        <v>0</v>
      </c>
      <c r="X58" s="1">
        <v>0</v>
      </c>
      <c r="Y58" s="1">
        <v>0</v>
      </c>
      <c r="Z58" s="1">
        <v>0</v>
      </c>
    </row>
    <row r="59" spans="1:26">
      <c r="A59" s="36" t="s">
        <v>573</v>
      </c>
      <c r="G59" s="1">
        <v>0</v>
      </c>
      <c r="H59" s="1">
        <v>0</v>
      </c>
      <c r="I59" s="1">
        <v>0</v>
      </c>
      <c r="J59" s="1">
        <v>0</v>
      </c>
      <c r="K59" s="1">
        <v>0</v>
      </c>
      <c r="L59" s="1">
        <v>0</v>
      </c>
      <c r="M59" s="1">
        <v>0</v>
      </c>
      <c r="N59" s="1">
        <v>0</v>
      </c>
      <c r="O59" s="1">
        <v>8.0380000000000003</v>
      </c>
      <c r="P59" s="1">
        <v>8.0380000000000003</v>
      </c>
      <c r="Q59" s="1">
        <v>0</v>
      </c>
      <c r="R59" s="1">
        <v>0</v>
      </c>
    </row>
    <row r="60" spans="1:26">
      <c r="A60" s="36" t="s">
        <v>574</v>
      </c>
      <c r="G60" s="1">
        <v>0</v>
      </c>
      <c r="H60" s="1">
        <v>0</v>
      </c>
      <c r="I60" s="1">
        <v>0</v>
      </c>
      <c r="J60" s="1">
        <v>0</v>
      </c>
      <c r="K60" s="1">
        <v>0</v>
      </c>
      <c r="L60" s="1">
        <v>0</v>
      </c>
      <c r="M60" s="1">
        <v>0</v>
      </c>
      <c r="N60" s="1">
        <v>0</v>
      </c>
      <c r="O60" s="1">
        <v>0</v>
      </c>
      <c r="P60" s="1">
        <v>0</v>
      </c>
      <c r="Q60" s="1">
        <v>0</v>
      </c>
      <c r="R60" s="1">
        <v>0</v>
      </c>
      <c r="S60" s="1">
        <v>2.8500000000000001E-2</v>
      </c>
      <c r="T60" s="1">
        <v>2.8500000000000001E-2</v>
      </c>
      <c r="U60" s="1">
        <v>1.49E-2</v>
      </c>
      <c r="V60" s="1">
        <v>1.49E-2</v>
      </c>
      <c r="W60" s="1">
        <v>0</v>
      </c>
      <c r="X60" s="1">
        <v>0</v>
      </c>
      <c r="Y60" s="1">
        <v>0</v>
      </c>
      <c r="Z60" s="1">
        <v>0</v>
      </c>
    </row>
    <row r="61" spans="1:26">
      <c r="A61" s="36" t="s">
        <v>575</v>
      </c>
      <c r="G61" s="1">
        <v>0</v>
      </c>
      <c r="H61" s="1">
        <v>0</v>
      </c>
      <c r="I61" s="1">
        <v>0</v>
      </c>
      <c r="J61" s="1">
        <v>0</v>
      </c>
      <c r="K61" s="1">
        <v>0</v>
      </c>
      <c r="L61" s="1">
        <v>0</v>
      </c>
      <c r="M61" s="1">
        <v>0</v>
      </c>
      <c r="N61" s="1">
        <v>0</v>
      </c>
      <c r="O61" s="1">
        <v>0</v>
      </c>
      <c r="P61" s="1">
        <v>0</v>
      </c>
      <c r="Q61" s="1">
        <v>0</v>
      </c>
      <c r="R61" s="1">
        <v>0</v>
      </c>
      <c r="S61" s="1">
        <v>127.4</v>
      </c>
      <c r="T61" s="1">
        <v>127.4</v>
      </c>
      <c r="U61" s="1">
        <v>174.3</v>
      </c>
      <c r="V61" s="1">
        <v>174.3</v>
      </c>
      <c r="W61" s="1">
        <v>0</v>
      </c>
      <c r="X61" s="1">
        <v>0</v>
      </c>
      <c r="Y61" s="1">
        <v>0</v>
      </c>
      <c r="Z61" s="1">
        <v>0</v>
      </c>
    </row>
    <row r="62" spans="1:26">
      <c r="A62" s="1" t="s">
        <v>576</v>
      </c>
    </row>
    <row r="63" spans="1:26">
      <c r="A63" s="36" t="s">
        <v>577</v>
      </c>
      <c r="G63" s="1">
        <v>2.69</v>
      </c>
      <c r="H63" s="1">
        <v>2.278</v>
      </c>
      <c r="I63" s="1">
        <v>2.6040000000000001</v>
      </c>
      <c r="J63" s="1">
        <v>2.2010000000000001</v>
      </c>
      <c r="K63" s="1">
        <v>2.4460000000000002</v>
      </c>
      <c r="L63" s="1">
        <v>1.8149999999999999</v>
      </c>
      <c r="M63" s="1">
        <v>3.8490000000000002</v>
      </c>
      <c r="N63" s="1">
        <v>4.5679999999999996</v>
      </c>
      <c r="O63" s="1">
        <v>3.2330000000000001</v>
      </c>
      <c r="P63" s="1">
        <v>2.7509999999999999</v>
      </c>
      <c r="Q63" s="1">
        <v>5.7</v>
      </c>
      <c r="R63" s="1">
        <v>4.8259999999999996</v>
      </c>
      <c r="S63" s="1">
        <v>3.96</v>
      </c>
      <c r="T63" s="1">
        <v>3.0840000000000001</v>
      </c>
      <c r="U63" s="1">
        <v>4.1100000000000003</v>
      </c>
      <c r="V63" s="1">
        <v>3.6429999999999998</v>
      </c>
      <c r="W63" s="1">
        <v>3.0680000000000001</v>
      </c>
      <c r="X63" s="1">
        <v>2.4500000000000002</v>
      </c>
      <c r="Y63" s="1">
        <v>2.5169999999999999</v>
      </c>
      <c r="Z63" s="1">
        <v>2.0499999999999998</v>
      </c>
    </row>
    <row r="64" spans="1:26">
      <c r="A64" s="36" t="s">
        <v>578</v>
      </c>
      <c r="G64" s="1">
        <v>188</v>
      </c>
      <c r="H64" s="1">
        <v>159</v>
      </c>
      <c r="I64" s="1">
        <v>188</v>
      </c>
      <c r="J64" s="1">
        <v>159</v>
      </c>
      <c r="K64" s="1">
        <v>183</v>
      </c>
      <c r="L64" s="1">
        <v>151</v>
      </c>
      <c r="M64" s="1">
        <v>157</v>
      </c>
      <c r="N64" s="1">
        <v>187</v>
      </c>
      <c r="O64" s="1">
        <v>179</v>
      </c>
      <c r="P64" s="1">
        <v>152</v>
      </c>
      <c r="Q64" s="1">
        <v>185</v>
      </c>
      <c r="R64" s="1">
        <v>157</v>
      </c>
      <c r="S64" s="1">
        <v>265</v>
      </c>
      <c r="T64" s="1">
        <v>234</v>
      </c>
      <c r="U64" s="1">
        <v>253</v>
      </c>
      <c r="V64" s="1">
        <v>224</v>
      </c>
      <c r="W64" s="1">
        <v>149</v>
      </c>
      <c r="X64" s="1">
        <v>119</v>
      </c>
      <c r="Y64" s="1">
        <v>157</v>
      </c>
      <c r="Z64" s="1">
        <v>128</v>
      </c>
    </row>
    <row r="65" spans="1:26">
      <c r="A65" s="36" t="s">
        <v>579</v>
      </c>
      <c r="G65" s="1">
        <v>143</v>
      </c>
      <c r="H65" s="1">
        <v>143</v>
      </c>
      <c r="I65" s="1">
        <v>138</v>
      </c>
      <c r="J65" s="1">
        <v>138</v>
      </c>
      <c r="K65" s="1">
        <v>133</v>
      </c>
      <c r="L65" s="1">
        <v>120</v>
      </c>
      <c r="M65" s="1">
        <v>244</v>
      </c>
      <c r="N65" s="1">
        <v>244</v>
      </c>
      <c r="O65" s="1">
        <v>181</v>
      </c>
      <c r="P65" s="1">
        <v>181</v>
      </c>
      <c r="Q65" s="1">
        <v>308</v>
      </c>
      <c r="R65" s="1">
        <v>308</v>
      </c>
      <c r="S65" s="1">
        <v>149</v>
      </c>
      <c r="T65" s="1">
        <v>132</v>
      </c>
      <c r="U65" s="1">
        <v>163</v>
      </c>
      <c r="V65" s="1">
        <v>163</v>
      </c>
      <c r="W65" s="1">
        <v>206</v>
      </c>
      <c r="X65" s="1">
        <v>206</v>
      </c>
      <c r="Y65" s="1">
        <v>160</v>
      </c>
      <c r="Z65" s="1">
        <v>160</v>
      </c>
    </row>
  </sheetData>
  <mergeCells count="1">
    <mergeCell ref="C30:F30"/>
  </mergeCells>
  <pageMargins left="0.7" right="0.7" top="0.75" bottom="0.75" header="0.3" footer="0.3"/>
  <pageSetup paperSize="9" orientation="portrait" r:id="rId1"/>
  <headerFooter>
    <oddHeader>&amp;C&amp;"Aptos"&amp;10&amp;KFF0000 OFFICIAL&amp;1#_x000D_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67125-7259-4BA8-8F7D-9F451EE189C9}">
  <dimension ref="A1:J65"/>
  <sheetViews>
    <sheetView workbookViewId="0">
      <selection activeCell="E7" sqref="E7"/>
    </sheetView>
  </sheetViews>
  <sheetFormatPr defaultRowHeight="14.25"/>
  <cols>
    <col min="1" max="1" width="15.5" customWidth="1"/>
    <col min="7" max="7" width="18.5" customWidth="1"/>
  </cols>
  <sheetData>
    <row r="1" spans="1:10" ht="20.25">
      <c r="A1" s="44" t="s">
        <v>580</v>
      </c>
    </row>
    <row r="3" spans="1:10">
      <c r="A3" s="73" t="s">
        <v>581</v>
      </c>
    </row>
    <row r="4" spans="1:10">
      <c r="A4" s="73" t="s">
        <v>582</v>
      </c>
    </row>
    <row r="6" spans="1:10" ht="16.5" thickBot="1">
      <c r="A6" s="43" t="s">
        <v>583</v>
      </c>
    </row>
    <row r="7" spans="1:10" ht="95.25" thickBot="1">
      <c r="A7" s="85" t="s">
        <v>129</v>
      </c>
      <c r="B7" s="86" t="s">
        <v>408</v>
      </c>
      <c r="C7" s="86" t="s">
        <v>584</v>
      </c>
      <c r="G7" s="146" t="s">
        <v>585</v>
      </c>
      <c r="H7" s="145" t="s">
        <v>586</v>
      </c>
      <c r="I7" s="145" t="s">
        <v>587</v>
      </c>
      <c r="J7" s="73" t="s">
        <v>588</v>
      </c>
    </row>
    <row r="8" spans="1:10" ht="16.5" thickBot="1">
      <c r="A8" s="87" t="s">
        <v>589</v>
      </c>
      <c r="B8" s="88">
        <v>100</v>
      </c>
      <c r="C8" s="88">
        <v>0</v>
      </c>
      <c r="G8" s="91" t="s">
        <v>131</v>
      </c>
      <c r="H8" s="134" t="s">
        <v>590</v>
      </c>
      <c r="I8">
        <f>VLOOKUP(H8,$A$8:$B$28,2,FALSE)</f>
        <v>125</v>
      </c>
    </row>
    <row r="9" spans="1:10" ht="16.5" thickBot="1">
      <c r="A9" s="87" t="s">
        <v>591</v>
      </c>
      <c r="B9" s="88">
        <v>103</v>
      </c>
      <c r="C9" s="88">
        <v>0</v>
      </c>
      <c r="G9" s="91" t="s">
        <v>132</v>
      </c>
      <c r="H9" s="134" t="s">
        <v>592</v>
      </c>
      <c r="I9">
        <f t="shared" ref="I9:I15" si="0">VLOOKUP(H9,$A$8:$B$28,2,FALSE)</f>
        <v>120</v>
      </c>
    </row>
    <row r="10" spans="1:10" ht="16.5" thickBot="1">
      <c r="A10" s="87" t="s">
        <v>593</v>
      </c>
      <c r="B10" s="88">
        <v>105</v>
      </c>
      <c r="C10" s="88">
        <v>55</v>
      </c>
      <c r="G10" s="91" t="s">
        <v>133</v>
      </c>
      <c r="H10" s="134" t="s">
        <v>592</v>
      </c>
      <c r="I10">
        <f t="shared" si="0"/>
        <v>120</v>
      </c>
    </row>
    <row r="11" spans="1:10" ht="16.5" thickBot="1">
      <c r="A11" s="87" t="s">
        <v>594</v>
      </c>
      <c r="B11" s="88">
        <v>100</v>
      </c>
      <c r="C11" s="88">
        <v>75</v>
      </c>
      <c r="G11" s="91" t="s">
        <v>134</v>
      </c>
      <c r="H11" s="134" t="s">
        <v>592</v>
      </c>
      <c r="I11">
        <f t="shared" si="0"/>
        <v>120</v>
      </c>
    </row>
    <row r="12" spans="1:10" ht="16.5" thickBot="1">
      <c r="A12" s="87" t="s">
        <v>595</v>
      </c>
      <c r="B12" s="88">
        <v>110</v>
      </c>
      <c r="C12" s="88">
        <v>85</v>
      </c>
      <c r="G12" s="91" t="s">
        <v>135</v>
      </c>
      <c r="H12" s="134" t="s">
        <v>593</v>
      </c>
      <c r="I12">
        <f t="shared" si="0"/>
        <v>105</v>
      </c>
    </row>
    <row r="13" spans="1:10" ht="16.5" thickBot="1">
      <c r="A13" s="87" t="s">
        <v>596</v>
      </c>
      <c r="B13" s="88">
        <v>115</v>
      </c>
      <c r="C13" s="88">
        <v>85</v>
      </c>
      <c r="G13" s="91" t="s">
        <v>136</v>
      </c>
      <c r="H13" s="134" t="s">
        <v>593</v>
      </c>
      <c r="I13">
        <f t="shared" si="0"/>
        <v>105</v>
      </c>
    </row>
    <row r="14" spans="1:10" ht="16.5" thickBot="1">
      <c r="A14" s="87" t="s">
        <v>597</v>
      </c>
      <c r="B14" s="88">
        <v>110</v>
      </c>
      <c r="C14" s="88">
        <v>100</v>
      </c>
      <c r="G14" s="91" t="s">
        <v>137</v>
      </c>
      <c r="H14" s="134" t="s">
        <v>593</v>
      </c>
      <c r="I14">
        <f t="shared" si="0"/>
        <v>105</v>
      </c>
    </row>
    <row r="15" spans="1:10" ht="16.5" thickBot="1">
      <c r="A15" s="87" t="s">
        <v>598</v>
      </c>
      <c r="B15" s="88">
        <v>110</v>
      </c>
      <c r="C15" s="88">
        <v>100</v>
      </c>
      <c r="G15" s="91" t="s">
        <v>138</v>
      </c>
      <c r="H15" s="181" t="s">
        <v>593</v>
      </c>
      <c r="I15">
        <f t="shared" si="0"/>
        <v>105</v>
      </c>
    </row>
    <row r="16" spans="1:10" ht="16.5" thickBot="1">
      <c r="A16" s="87" t="s">
        <v>599</v>
      </c>
      <c r="B16" s="88">
        <v>110</v>
      </c>
      <c r="C16" s="88">
        <v>140</v>
      </c>
      <c r="G16" s="182" t="s">
        <v>32</v>
      </c>
      <c r="H16" s="177"/>
      <c r="I16" s="183">
        <f>AVERAGE(I8:I15)</f>
        <v>113.125</v>
      </c>
    </row>
    <row r="17" spans="1:10" ht="16.5" thickBot="1">
      <c r="A17" s="87" t="s">
        <v>600</v>
      </c>
      <c r="B17" s="88">
        <v>105</v>
      </c>
      <c r="C17" s="88">
        <v>175</v>
      </c>
    </row>
    <row r="18" spans="1:10" ht="16.5" thickBot="1">
      <c r="A18" s="87" t="s">
        <v>590</v>
      </c>
      <c r="B18" s="88">
        <v>125</v>
      </c>
      <c r="C18" s="88">
        <v>180</v>
      </c>
    </row>
    <row r="19" spans="1:10" ht="16.5" thickBot="1">
      <c r="A19" s="87" t="s">
        <v>601</v>
      </c>
      <c r="B19" s="88">
        <v>125</v>
      </c>
      <c r="C19" s="88">
        <v>185</v>
      </c>
      <c r="G19" t="s">
        <v>602</v>
      </c>
      <c r="H19" s="147">
        <f>J65</f>
        <v>1.0544747081712063</v>
      </c>
      <c r="J19" s="73" t="s">
        <v>603</v>
      </c>
    </row>
    <row r="20" spans="1:10" ht="16.5" thickBot="1">
      <c r="A20" s="87" t="s">
        <v>604</v>
      </c>
      <c r="B20" s="88">
        <v>120</v>
      </c>
      <c r="C20" s="88">
        <v>190</v>
      </c>
      <c r="G20" t="s">
        <v>605</v>
      </c>
      <c r="H20" s="134">
        <f>1</f>
        <v>1</v>
      </c>
      <c r="J20" s="73" t="s">
        <v>603</v>
      </c>
    </row>
    <row r="21" spans="1:10" ht="16.5" thickBot="1">
      <c r="A21" s="87" t="s">
        <v>606</v>
      </c>
      <c r="B21" s="88">
        <v>115</v>
      </c>
      <c r="C21" s="88">
        <v>210</v>
      </c>
    </row>
    <row r="22" spans="1:10" ht="16.5" thickBot="1">
      <c r="A22" s="87" t="s">
        <v>592</v>
      </c>
      <c r="B22" s="88">
        <v>120</v>
      </c>
      <c r="C22" s="88">
        <v>220</v>
      </c>
    </row>
    <row r="23" spans="1:10" ht="16.5" thickBot="1">
      <c r="A23" s="87" t="s">
        <v>607</v>
      </c>
      <c r="B23" s="88">
        <v>125</v>
      </c>
      <c r="C23" s="88">
        <v>250</v>
      </c>
    </row>
    <row r="24" spans="1:10" ht="16.5" thickBot="1">
      <c r="A24" s="87" t="s">
        <v>608</v>
      </c>
      <c r="B24" s="88">
        <v>120</v>
      </c>
      <c r="C24" s="88">
        <v>260</v>
      </c>
    </row>
    <row r="25" spans="1:10" ht="16.5" thickBot="1">
      <c r="A25" s="87" t="s">
        <v>609</v>
      </c>
      <c r="B25" s="88">
        <v>115</v>
      </c>
      <c r="C25" s="88">
        <v>270</v>
      </c>
    </row>
    <row r="26" spans="1:10" ht="16.5" thickBot="1">
      <c r="A26" s="87" t="s">
        <v>610</v>
      </c>
      <c r="B26" s="88">
        <v>125</v>
      </c>
      <c r="C26" s="88">
        <v>275</v>
      </c>
    </row>
    <row r="27" spans="1:10" ht="16.5" thickBot="1">
      <c r="A27" s="87" t="s">
        <v>611</v>
      </c>
      <c r="B27" s="88">
        <v>125</v>
      </c>
      <c r="C27" s="88">
        <v>280</v>
      </c>
    </row>
    <row r="28" spans="1:10" ht="16.5" thickBot="1">
      <c r="A28" s="87" t="s">
        <v>612</v>
      </c>
      <c r="B28" s="88">
        <v>120</v>
      </c>
      <c r="C28" s="88">
        <v>310</v>
      </c>
    </row>
    <row r="30" spans="1:10" ht="15.75">
      <c r="A30" s="43" t="s">
        <v>613</v>
      </c>
    </row>
    <row r="31" spans="1:10">
      <c r="C31" s="89" t="s">
        <v>614</v>
      </c>
      <c r="D31" s="89" t="s">
        <v>589</v>
      </c>
      <c r="E31" s="89" t="s">
        <v>615</v>
      </c>
    </row>
    <row r="32" spans="1:10">
      <c r="A32" t="s">
        <v>616</v>
      </c>
      <c r="B32" t="s">
        <v>617</v>
      </c>
      <c r="C32">
        <v>1535</v>
      </c>
      <c r="D32">
        <v>1780</v>
      </c>
    </row>
    <row r="33" spans="1:10">
      <c r="A33" t="s">
        <v>618</v>
      </c>
      <c r="B33" t="s">
        <v>617</v>
      </c>
      <c r="C33">
        <v>1655</v>
      </c>
      <c r="D33">
        <v>1915</v>
      </c>
    </row>
    <row r="34" spans="1:10">
      <c r="A34" t="s">
        <v>619</v>
      </c>
      <c r="B34" t="s">
        <v>617</v>
      </c>
      <c r="C34">
        <f>(C32+C33)/2</f>
        <v>1595</v>
      </c>
      <c r="D34">
        <f>(D32+D33)/2</f>
        <v>1847.5</v>
      </c>
      <c r="E34" s="90">
        <f>D34/C34</f>
        <v>1.1583072100313481</v>
      </c>
    </row>
    <row r="35" spans="1:10">
      <c r="D35" s="90"/>
    </row>
    <row r="37" spans="1:10" ht="15.75">
      <c r="A37" s="43" t="s">
        <v>620</v>
      </c>
    </row>
    <row r="38" spans="1:10">
      <c r="C38" s="89" t="s">
        <v>614</v>
      </c>
      <c r="D38" s="89" t="s">
        <v>589</v>
      </c>
      <c r="E38" s="89" t="s">
        <v>615</v>
      </c>
    </row>
    <row r="39" spans="1:10">
      <c r="A39" t="s">
        <v>621</v>
      </c>
      <c r="B39" t="s">
        <v>622</v>
      </c>
      <c r="C39">
        <v>1260</v>
      </c>
      <c r="D39">
        <v>1290</v>
      </c>
      <c r="E39" s="90">
        <f>D39/C39</f>
        <v>1.0238095238095237</v>
      </c>
    </row>
    <row r="40" spans="1:10">
      <c r="D40" s="90"/>
    </row>
    <row r="42" spans="1:10" ht="15.75">
      <c r="A42" s="43" t="s">
        <v>623</v>
      </c>
    </row>
    <row r="43" spans="1:10">
      <c r="C43" s="89" t="s">
        <v>614</v>
      </c>
      <c r="D43" s="89" t="s">
        <v>589</v>
      </c>
      <c r="E43" s="89" t="s">
        <v>615</v>
      </c>
    </row>
    <row r="44" spans="1:10">
      <c r="A44" t="s">
        <v>621</v>
      </c>
      <c r="B44" t="s">
        <v>617</v>
      </c>
      <c r="C44">
        <v>920</v>
      </c>
      <c r="D44">
        <v>890</v>
      </c>
      <c r="E44" s="90">
        <f>D44/C44</f>
        <v>0.96739130434782605</v>
      </c>
    </row>
    <row r="46" spans="1:10" ht="15.75">
      <c r="A46" s="43" t="s">
        <v>624</v>
      </c>
    </row>
    <row r="47" spans="1:10">
      <c r="A47" t="s">
        <v>625</v>
      </c>
    </row>
    <row r="48" spans="1:10" ht="15">
      <c r="A48" s="38"/>
      <c r="B48" s="201" t="s">
        <v>614</v>
      </c>
      <c r="C48" s="201"/>
      <c r="D48" s="201"/>
      <c r="E48" s="38"/>
      <c r="F48" s="201" t="s">
        <v>589</v>
      </c>
      <c r="G48" s="201"/>
      <c r="H48" s="201"/>
      <c r="I48" s="38"/>
      <c r="J48" s="38"/>
    </row>
    <row r="49" spans="1:10" ht="15">
      <c r="A49" s="92" t="s">
        <v>626</v>
      </c>
      <c r="B49" s="92" t="s">
        <v>627</v>
      </c>
      <c r="C49" s="92" t="s">
        <v>628</v>
      </c>
      <c r="D49" s="92" t="s">
        <v>629</v>
      </c>
      <c r="E49" s="92"/>
      <c r="F49" s="92" t="s">
        <v>627</v>
      </c>
      <c r="G49" s="92" t="s">
        <v>628</v>
      </c>
      <c r="H49" s="92" t="s">
        <v>629</v>
      </c>
      <c r="I49" s="38"/>
      <c r="J49" s="37" t="s">
        <v>615</v>
      </c>
    </row>
    <row r="50" spans="1:10" ht="15.75">
      <c r="A50" s="91" t="s">
        <v>630</v>
      </c>
      <c r="B50" s="91">
        <v>116</v>
      </c>
      <c r="C50" s="91">
        <v>125</v>
      </c>
      <c r="D50" s="91">
        <v>120.5</v>
      </c>
      <c r="F50" s="91">
        <v>116</v>
      </c>
      <c r="G50" s="91">
        <v>120</v>
      </c>
      <c r="H50" s="91">
        <v>118</v>
      </c>
      <c r="J50" s="90">
        <f>H50/D50</f>
        <v>0.97925311203319498</v>
      </c>
    </row>
    <row r="51" spans="1:10" ht="31.5">
      <c r="A51" s="91" t="s">
        <v>631</v>
      </c>
      <c r="B51" s="91">
        <v>116</v>
      </c>
      <c r="C51" s="91">
        <v>125</v>
      </c>
      <c r="D51" s="91">
        <v>120.5</v>
      </c>
      <c r="F51" s="91">
        <v>117</v>
      </c>
      <c r="G51" s="91">
        <v>122</v>
      </c>
      <c r="H51" s="91">
        <v>119.5</v>
      </c>
      <c r="J51" s="90">
        <f t="shared" ref="J51:J65" si="1">H51/D51</f>
        <v>0.99170124481327804</v>
      </c>
    </row>
    <row r="52" spans="1:10" ht="15.75">
      <c r="A52" s="91" t="s">
        <v>632</v>
      </c>
      <c r="B52" s="91">
        <v>114.5</v>
      </c>
      <c r="C52" s="91">
        <v>124</v>
      </c>
      <c r="D52" s="91">
        <v>119.25</v>
      </c>
      <c r="F52" s="91">
        <v>107</v>
      </c>
      <c r="G52" s="91">
        <v>110</v>
      </c>
      <c r="H52" s="91">
        <v>108.5</v>
      </c>
      <c r="J52" s="90">
        <f t="shared" si="1"/>
        <v>0.90985324947589097</v>
      </c>
    </row>
    <row r="53" spans="1:10" ht="15.75">
      <c r="A53" s="91" t="s">
        <v>633</v>
      </c>
      <c r="B53" s="91">
        <v>116</v>
      </c>
      <c r="C53" s="91">
        <v>125</v>
      </c>
      <c r="D53" s="91">
        <v>120.5</v>
      </c>
      <c r="F53" s="91">
        <v>111</v>
      </c>
      <c r="G53" s="91">
        <v>115</v>
      </c>
      <c r="H53" s="91">
        <v>113</v>
      </c>
      <c r="J53" s="90">
        <f t="shared" si="1"/>
        <v>0.93775933609958506</v>
      </c>
    </row>
    <row r="54" spans="1:10" ht="31.5">
      <c r="A54" s="91" t="s">
        <v>634</v>
      </c>
      <c r="B54" s="91">
        <v>124</v>
      </c>
      <c r="C54" s="91">
        <v>130</v>
      </c>
      <c r="D54" s="91">
        <v>127</v>
      </c>
      <c r="F54" s="91">
        <v>132.5</v>
      </c>
      <c r="G54" s="91">
        <v>136.5</v>
      </c>
      <c r="H54" s="91">
        <v>134.5</v>
      </c>
      <c r="J54" s="90">
        <f t="shared" si="1"/>
        <v>1.0590551181102361</v>
      </c>
    </row>
    <row r="55" spans="1:10" ht="31.5">
      <c r="A55" s="91" t="s">
        <v>635</v>
      </c>
      <c r="B55" s="91">
        <v>116</v>
      </c>
      <c r="C55" s="91">
        <v>125</v>
      </c>
      <c r="D55" s="91">
        <v>120.5</v>
      </c>
      <c r="F55" s="91">
        <v>109</v>
      </c>
      <c r="G55" s="91">
        <v>113</v>
      </c>
      <c r="H55" s="91">
        <v>111</v>
      </c>
      <c r="J55" s="90">
        <f t="shared" si="1"/>
        <v>0.92116182572614103</v>
      </c>
    </row>
    <row r="56" spans="1:10" ht="31.5">
      <c r="A56" s="91" t="s">
        <v>636</v>
      </c>
      <c r="B56" s="91">
        <v>114.5</v>
      </c>
      <c r="C56" s="91">
        <v>124</v>
      </c>
      <c r="D56" s="91">
        <v>119.25</v>
      </c>
      <c r="F56" s="91">
        <v>107</v>
      </c>
      <c r="G56" s="91">
        <v>111</v>
      </c>
      <c r="H56" s="91">
        <v>109</v>
      </c>
      <c r="J56" s="90">
        <f t="shared" si="1"/>
        <v>0.91404612159329135</v>
      </c>
    </row>
    <row r="57" spans="1:10" ht="31.5">
      <c r="A57" s="91" t="s">
        <v>637</v>
      </c>
      <c r="B57" s="91">
        <v>113</v>
      </c>
      <c r="C57" s="91">
        <v>121.5</v>
      </c>
      <c r="D57" s="91">
        <v>117.25</v>
      </c>
      <c r="F57" s="91">
        <v>107</v>
      </c>
      <c r="G57" s="91">
        <v>111</v>
      </c>
      <c r="H57" s="91">
        <v>109</v>
      </c>
      <c r="J57" s="90">
        <f t="shared" si="1"/>
        <v>0.92963752665245203</v>
      </c>
    </row>
    <row r="58" spans="1:10" ht="31.5">
      <c r="A58" s="91" t="s">
        <v>638</v>
      </c>
      <c r="B58" s="91">
        <v>111</v>
      </c>
      <c r="C58" s="91">
        <v>118.5</v>
      </c>
      <c r="D58" s="91">
        <v>114.75</v>
      </c>
      <c r="F58" s="91">
        <v>102.5</v>
      </c>
      <c r="G58" s="91">
        <v>110</v>
      </c>
      <c r="H58" s="91">
        <v>106.25</v>
      </c>
      <c r="J58" s="90">
        <f t="shared" si="1"/>
        <v>0.92592592592592593</v>
      </c>
    </row>
    <row r="59" spans="1:10" ht="31.5">
      <c r="A59" s="91" t="s">
        <v>639</v>
      </c>
      <c r="B59" s="91">
        <v>117.5</v>
      </c>
      <c r="C59" s="91">
        <v>125.5</v>
      </c>
      <c r="D59" s="91">
        <v>121.5</v>
      </c>
      <c r="F59" s="91">
        <v>129.5</v>
      </c>
      <c r="G59" s="91">
        <v>133.5</v>
      </c>
      <c r="H59" s="91">
        <v>131.5</v>
      </c>
      <c r="J59" s="90">
        <f t="shared" si="1"/>
        <v>1.0823045267489713</v>
      </c>
    </row>
    <row r="60" spans="1:10" ht="47.25">
      <c r="A60" s="91" t="s">
        <v>640</v>
      </c>
      <c r="B60" s="91">
        <v>114.5</v>
      </c>
      <c r="C60" s="91">
        <v>124.5</v>
      </c>
      <c r="D60" s="91">
        <v>119.5</v>
      </c>
      <c r="F60" s="91">
        <v>124.5</v>
      </c>
      <c r="G60" s="91">
        <v>131.5</v>
      </c>
      <c r="H60" s="91">
        <v>128</v>
      </c>
      <c r="J60" s="90">
        <f t="shared" si="1"/>
        <v>1.0711297071129706</v>
      </c>
    </row>
    <row r="61" spans="1:10" ht="47.25">
      <c r="A61" s="91" t="s">
        <v>641</v>
      </c>
      <c r="B61" s="91">
        <v>109</v>
      </c>
      <c r="C61" s="91">
        <v>114</v>
      </c>
      <c r="D61" s="91">
        <v>111.5</v>
      </c>
      <c r="F61" s="91">
        <v>124.5</v>
      </c>
      <c r="G61" s="91">
        <v>131.5</v>
      </c>
      <c r="H61" s="91">
        <v>128</v>
      </c>
      <c r="J61" s="90">
        <f t="shared" si="1"/>
        <v>1.147982062780269</v>
      </c>
    </row>
    <row r="62" spans="1:10" ht="15.75">
      <c r="A62" s="91" t="s">
        <v>642</v>
      </c>
      <c r="B62" s="91">
        <v>117.5</v>
      </c>
      <c r="C62" s="91">
        <v>125.5</v>
      </c>
      <c r="D62" s="91">
        <v>121.5</v>
      </c>
      <c r="F62" s="91">
        <v>123</v>
      </c>
      <c r="G62" s="91">
        <v>130.5</v>
      </c>
      <c r="H62" s="91">
        <v>126.75</v>
      </c>
      <c r="J62" s="90">
        <f t="shared" si="1"/>
        <v>1.0432098765432098</v>
      </c>
    </row>
    <row r="63" spans="1:10" ht="15.75">
      <c r="A63" s="91" t="s">
        <v>643</v>
      </c>
      <c r="B63" s="91">
        <v>119</v>
      </c>
      <c r="C63" s="91">
        <v>125.5</v>
      </c>
      <c r="D63" s="91">
        <v>122.25</v>
      </c>
      <c r="F63" s="91">
        <v>128.5</v>
      </c>
      <c r="G63" s="91">
        <v>132.5</v>
      </c>
      <c r="H63" s="91">
        <v>130.5</v>
      </c>
      <c r="J63" s="90">
        <f t="shared" si="1"/>
        <v>1.0674846625766872</v>
      </c>
    </row>
    <row r="64" spans="1:10" ht="15.75">
      <c r="A64" s="91" t="s">
        <v>644</v>
      </c>
      <c r="B64" s="91">
        <v>125.5</v>
      </c>
      <c r="C64" s="91">
        <v>131.5</v>
      </c>
      <c r="D64" s="91">
        <v>128.5</v>
      </c>
      <c r="F64" s="91">
        <v>131.5</v>
      </c>
      <c r="G64" s="91">
        <v>137.5</v>
      </c>
      <c r="H64" s="91">
        <v>134.5</v>
      </c>
      <c r="J64" s="90">
        <f t="shared" si="1"/>
        <v>1.0466926070038911</v>
      </c>
    </row>
    <row r="65" spans="1:10" ht="31.5">
      <c r="A65" s="91" t="s">
        <v>645</v>
      </c>
      <c r="B65" s="91">
        <v>125.5</v>
      </c>
      <c r="C65" s="91">
        <v>131.5</v>
      </c>
      <c r="D65" s="91">
        <v>128.5</v>
      </c>
      <c r="F65" s="91">
        <v>129.5</v>
      </c>
      <c r="G65" s="91">
        <v>141.5</v>
      </c>
      <c r="H65" s="91">
        <v>135.5</v>
      </c>
      <c r="J65" s="90">
        <f t="shared" si="1"/>
        <v>1.0544747081712063</v>
      </c>
    </row>
  </sheetData>
  <autoFilter ref="A7:C28" xr:uid="{AFE67125-7259-4BA8-8F7D-9F451EE189C9}">
    <sortState xmlns:xlrd2="http://schemas.microsoft.com/office/spreadsheetml/2017/richdata2" ref="A8:C28">
      <sortCondition ref="C7:C28"/>
    </sortState>
  </autoFilter>
  <mergeCells count="2">
    <mergeCell ref="B48:D48"/>
    <mergeCell ref="F48:H48"/>
  </mergeCells>
  <pageMargins left="0.7" right="0.7" top="0.75" bottom="0.75" header="0.3" footer="0.3"/>
  <pageSetup paperSize="9" orientation="portrait" r:id="rId1"/>
  <headerFooter>
    <oddHeader>&amp;C&amp;"Aptos"&amp;10&amp;KFF0000 OFFICIAL&amp;1#_x000D_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AC663-989D-4580-AA35-100667DFA231}">
  <dimension ref="A1:L12"/>
  <sheetViews>
    <sheetView workbookViewId="0">
      <selection activeCell="F1" sqref="F1"/>
    </sheetView>
  </sheetViews>
  <sheetFormatPr defaultRowHeight="14.25"/>
  <cols>
    <col min="1" max="1" width="10.375" bestFit="1" customWidth="1"/>
    <col min="11" max="11" width="14.5" customWidth="1"/>
    <col min="12" max="12" width="13.75" customWidth="1"/>
  </cols>
  <sheetData>
    <row r="1" spans="1:12" ht="20.25">
      <c r="A1" s="44" t="s">
        <v>646</v>
      </c>
    </row>
    <row r="2" spans="1:12" ht="15" thickBot="1">
      <c r="A2" s="41">
        <v>45989</v>
      </c>
    </row>
    <row r="3" spans="1:12" ht="63.75" thickBot="1">
      <c r="I3" s="85" t="s">
        <v>129</v>
      </c>
      <c r="J3" s="86" t="s">
        <v>647</v>
      </c>
      <c r="K3" s="86" t="s">
        <v>648</v>
      </c>
      <c r="L3" s="86" t="s">
        <v>649</v>
      </c>
    </row>
    <row r="4" spans="1:12" ht="32.25" thickBot="1">
      <c r="I4" s="87" t="s">
        <v>131</v>
      </c>
      <c r="J4" s="88">
        <v>7.3</v>
      </c>
      <c r="K4" s="175">
        <v>20000</v>
      </c>
      <c r="L4" s="175">
        <v>145000</v>
      </c>
    </row>
    <row r="5" spans="1:12" ht="16.5" thickBot="1">
      <c r="I5" s="87" t="s">
        <v>132</v>
      </c>
      <c r="J5" s="88">
        <v>7.3</v>
      </c>
      <c r="K5" s="175">
        <v>40000</v>
      </c>
      <c r="L5" s="175">
        <v>290000</v>
      </c>
    </row>
    <row r="6" spans="1:12" ht="32.25" thickBot="1">
      <c r="I6" s="87" t="s">
        <v>133</v>
      </c>
      <c r="J6" s="88">
        <v>7.3</v>
      </c>
      <c r="K6" s="175">
        <v>40000</v>
      </c>
      <c r="L6" s="175">
        <v>290000</v>
      </c>
    </row>
    <row r="7" spans="1:12" ht="16.5" thickBot="1">
      <c r="I7" s="87" t="s">
        <v>134</v>
      </c>
      <c r="J7" s="88">
        <v>7.3</v>
      </c>
      <c r="K7" s="175">
        <v>40000</v>
      </c>
      <c r="L7" s="175">
        <v>290000</v>
      </c>
    </row>
    <row r="8" spans="1:12" ht="16.5" thickBot="1">
      <c r="I8" s="87" t="s">
        <v>135</v>
      </c>
      <c r="J8" s="88">
        <v>7.3</v>
      </c>
      <c r="K8" s="175">
        <v>100000</v>
      </c>
      <c r="L8" s="175">
        <v>730000</v>
      </c>
    </row>
    <row r="9" spans="1:12" ht="16.5" thickBot="1">
      <c r="I9" s="87" t="s">
        <v>136</v>
      </c>
      <c r="J9" s="88">
        <v>7.3</v>
      </c>
      <c r="K9" s="175">
        <v>1300000</v>
      </c>
      <c r="L9" s="175">
        <v>9490000</v>
      </c>
    </row>
    <row r="10" spans="1:12" ht="16.5" thickBot="1">
      <c r="I10" s="87" t="s">
        <v>137</v>
      </c>
      <c r="J10" s="88">
        <v>7.3</v>
      </c>
      <c r="K10" s="175">
        <v>1250000</v>
      </c>
      <c r="L10" s="175">
        <v>9125000</v>
      </c>
    </row>
    <row r="11" spans="1:12" ht="32.25" thickBot="1">
      <c r="I11" s="87" t="s">
        <v>138</v>
      </c>
      <c r="J11" s="88">
        <v>7.3</v>
      </c>
      <c r="K11" s="175">
        <v>1500000</v>
      </c>
      <c r="L11" s="175">
        <v>10950000</v>
      </c>
    </row>
    <row r="12" spans="1:12" ht="16.5" thickBot="1">
      <c r="I12" s="176" t="s">
        <v>32</v>
      </c>
      <c r="J12" s="177">
        <f>AVERAGE(J4:J11)</f>
        <v>7.2999999999999989</v>
      </c>
      <c r="K12" s="178">
        <f>AVERAGE(K4:K11)</f>
        <v>536250</v>
      </c>
      <c r="L12" s="179">
        <f>AVERAGE(L4:L11)</f>
        <v>3913750</v>
      </c>
    </row>
  </sheetData>
  <pageMargins left="0.7" right="0.7" top="0.75" bottom="0.75" header="0.3" footer="0.3"/>
  <pageSetup paperSize="9" orientation="portrait" r:id="rId1"/>
  <headerFooter>
    <oddHeader>&amp;C&amp;"Aptos"&amp;10&amp;KFF0000 OFFICIAL&amp;1#_x000D_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c61a344-3b37-4e69-83e2-7f974fc11341" xsi:nil="true"/>
    <lcf76f155ced4ddcb4097134ff3c332f xmlns="f630aaed-b9c3-46b9-9ed3-f545762583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6C4C119FE57F74E8003E78C7424F714" ma:contentTypeVersion="4" ma:contentTypeDescription="Create a new document." ma:contentTypeScope="" ma:versionID="3bbef8a944b488d1ff7791dec1a41920">
  <xsd:schema xmlns:xsd="http://www.w3.org/2001/XMLSchema" xmlns:xs="http://www.w3.org/2001/XMLSchema" xmlns:p="http://schemas.microsoft.com/office/2006/metadata/properties" xmlns:ns2="d0053c54-b3e3-4740-aedc-88d5127ed2c7" xmlns:ns3="01e94540-46bb-428c-9a53-241df014fb05" xmlns:ns4="2a9e242e-1e04-42c3-928b-b0188cad9e83" xmlns:ns5="f630aaed-b9c3-46b9-9ed3-f545762583a9" xmlns:ns6="1c61a344-3b37-4e69-83e2-7f974fc11341" targetNamespace="http://schemas.microsoft.com/office/2006/metadata/properties" ma:root="true" ma:fieldsID="5775a2ca20038f48534d8f54bb690cd4" ns2:_="" ns3:_="" ns4:_="" ns5:_="" ns6:_="">
    <xsd:import namespace="d0053c54-b3e3-4740-aedc-88d5127ed2c7"/>
    <xsd:import namespace="01e94540-46bb-428c-9a53-241df014fb05"/>
    <xsd:import namespace="2a9e242e-1e04-42c3-928b-b0188cad9e83"/>
    <xsd:import namespace="f630aaed-b9c3-46b9-9ed3-f545762583a9"/>
    <xsd:import namespace="1c61a344-3b37-4e69-83e2-7f974fc1134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4:MediaServiceDateTaken" minOccurs="0"/>
                <xsd:element ref="ns4:MediaServiceObjectDetectorVersions" minOccurs="0"/>
                <xsd:element ref="ns4:MediaServiceLocation" minOccurs="0"/>
                <xsd:element ref="ns4:MediaLengthInSeconds" minOccurs="0"/>
                <xsd:element ref="ns4:MediaServiceSearchProperties" minOccurs="0"/>
                <xsd:element ref="ns5:lcf76f155ced4ddcb4097134ff3c332f" minOccurs="0"/>
                <xsd:element ref="ns6: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53c54-b3e3-4740-aedc-88d5127ed2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e94540-46bb-428c-9a53-241df014fb0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9e242e-1e04-42c3-928b-b0188cad9e83" elementFormDefault="qualified">
    <xsd:import namespace="http://schemas.microsoft.com/office/2006/documentManagement/types"/>
    <xsd:import namespace="http://schemas.microsoft.com/office/infopath/2007/PartnerControls"/>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30aaed-b9c3-46b9-9ed3-f545762583a9"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228b05a-6af7-4ab4-a422-e8061aaa773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c61a344-3b37-4e69-83e2-7f974fc11341"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525d9e6b-9ae5-4c8e-8296-4e195cffa855}" ma:internalName="TaxCatchAll" ma:showField="CatchAllData" ma:web="1c61a344-3b37-4e69-83e2-7f974fc113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0B9810-9AA9-4C5E-9DEE-35BBD033D277}">
  <ds:schemaRefs>
    <ds:schemaRef ds:uri="http://schemas.microsoft.com/office/2006/metadata/properties"/>
    <ds:schemaRef ds:uri="http://schemas.microsoft.com/office/infopath/2007/PartnerControls"/>
    <ds:schemaRef ds:uri="1c61a344-3b37-4e69-83e2-7f974fc11341"/>
    <ds:schemaRef ds:uri="f630aaed-b9c3-46b9-9ed3-f545762583a9"/>
  </ds:schemaRefs>
</ds:datastoreItem>
</file>

<file path=customXml/itemProps2.xml><?xml version="1.0" encoding="utf-8"?>
<ds:datastoreItem xmlns:ds="http://schemas.openxmlformats.org/officeDocument/2006/customXml" ds:itemID="{F4F678C5-FC73-488E-8675-A63A2763B9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53c54-b3e3-4740-aedc-88d5127ed2c7"/>
    <ds:schemaRef ds:uri="01e94540-46bb-428c-9a53-241df014fb05"/>
    <ds:schemaRef ds:uri="2a9e242e-1e04-42c3-928b-b0188cad9e83"/>
    <ds:schemaRef ds:uri="f630aaed-b9c3-46b9-9ed3-f545762583a9"/>
    <ds:schemaRef ds:uri="1c61a344-3b37-4e69-83e2-7f974fc11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15DC2B-EBF5-4534-906B-7C765B5978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11</vt:i4>
      </vt:variant>
      <vt:variant>
        <vt:lpstr>Charts</vt:lpstr>
      </vt:variant>
      <vt:variant>
        <vt:i4>1</vt:i4>
      </vt:variant>
      <vt:variant>
        <vt:lpstr>Named Ranges</vt:lpstr>
      </vt:variant>
      <vt:variant>
        <vt:i4>81</vt:i4>
      </vt:variant>
    </vt:vector>
  </HeadingPairs>
  <TitlesOfParts>
    <vt:vector size="93" baseType="lpstr">
      <vt:lpstr>Title</vt:lpstr>
      <vt:lpstr>Parameters</vt:lpstr>
      <vt:lpstr>Calculations</vt:lpstr>
      <vt:lpstr>WP</vt:lpstr>
      <vt:lpstr>Gas</vt:lpstr>
      <vt:lpstr>Distillate</vt:lpstr>
      <vt:lpstr>CPI_FX</vt:lpstr>
      <vt:lpstr>IASR</vt:lpstr>
      <vt:lpstr>TFlow33</vt:lpstr>
      <vt:lpstr>Rawlinsons</vt:lpstr>
      <vt:lpstr>Land cost</vt:lpstr>
      <vt:lpstr>Chart</vt:lpstr>
      <vt:lpstr>AMortisationPeriod_Years</vt:lpstr>
      <vt:lpstr>BESS_MW</vt:lpstr>
      <vt:lpstr>CapCreditsMultiplier_Flex</vt:lpstr>
      <vt:lpstr>CapCreditsMultiplier_Peak</vt:lpstr>
      <vt:lpstr>CashCycle_Days</vt:lpstr>
      <vt:lpstr>ConfigParamsTable</vt:lpstr>
      <vt:lpstr>ConfigRow_DBNGPTariff_MillionsPerYear</vt:lpstr>
      <vt:lpstr>ConfigRow_ElecConnCost_Millions</vt:lpstr>
      <vt:lpstr>ConfigRow_GasBara</vt:lpstr>
      <vt:lpstr>ConfigRow_GAsConnCost_Millions</vt:lpstr>
      <vt:lpstr>ConfigRow_IASRSelection</vt:lpstr>
      <vt:lpstr>ConfigRow_LandAreaHa</vt:lpstr>
      <vt:lpstr>ConfigRow_LocalisationFactor</vt:lpstr>
      <vt:lpstr>ConfigRow_NetHR</vt:lpstr>
      <vt:lpstr>ConfigRow_NetMW</vt:lpstr>
      <vt:lpstr>ConfigRow_NumberOfConnections</vt:lpstr>
      <vt:lpstr>ConfigRow_TUOSTotal_Millions</vt:lpstr>
      <vt:lpstr>ConfigRow_WaterConnCost_Millions</vt:lpstr>
      <vt:lpstr>ConfigRow_WC_MillionsPerYear</vt:lpstr>
      <vt:lpstr>CorporateOVerhead_DollarsPerYear</vt:lpstr>
      <vt:lpstr>CPI_fcst_Table</vt:lpstr>
      <vt:lpstr>CPI_Hist_Ref_Date</vt:lpstr>
      <vt:lpstr>CPI_Historic_table</vt:lpstr>
      <vt:lpstr>CPIIndex_BRCPDate</vt:lpstr>
      <vt:lpstr>CPIIndex_CurrDate</vt:lpstr>
      <vt:lpstr>CPIIndex_RefDate</vt:lpstr>
      <vt:lpstr>Date_BRCP</vt:lpstr>
      <vt:lpstr>Date_Current</vt:lpstr>
      <vt:lpstr>DistilateCost_DollarsPerGJ</vt:lpstr>
      <vt:lpstr>ElectricalConnectionSelectionList</vt:lpstr>
      <vt:lpstr>ElectricalCOnnectonsCostTable</vt:lpstr>
      <vt:lpstr>FixedCapitalCharge_DollarsPerMW</vt:lpstr>
      <vt:lpstr>FOMFactor_ElecConn</vt:lpstr>
      <vt:lpstr>FOMFactor_GasConn</vt:lpstr>
      <vt:lpstr>FuelStored_Distillate_Hours</vt:lpstr>
      <vt:lpstr>FuelStored_GAs_Hours</vt:lpstr>
      <vt:lpstr>FX_Date</vt:lpstr>
      <vt:lpstr>Fx_Rate</vt:lpstr>
      <vt:lpstr>fx_table</vt:lpstr>
      <vt:lpstr>Gas_DBNGPTariff_DollarsPerGJPerDay</vt:lpstr>
      <vt:lpstr>GasConn_CapexColumn</vt:lpstr>
      <vt:lpstr>GasConn_CostRefDate</vt:lpstr>
      <vt:lpstr>GasConn_MDQColumn</vt:lpstr>
      <vt:lpstr>GasConn_SkinnyLateral_RefPressureMPA</vt:lpstr>
      <vt:lpstr>GasConn_SkinnyLateralVelocity</vt:lpstr>
      <vt:lpstr>GasConn_Table</vt:lpstr>
      <vt:lpstr>GasConns_PipelineDistance</vt:lpstr>
      <vt:lpstr>GasCost_DollarsPerGJ</vt:lpstr>
      <vt:lpstr>IASR_BESS6_RefCapex</vt:lpstr>
      <vt:lpstr>IASR_BESS7_RefCapex</vt:lpstr>
      <vt:lpstr>IASR_BESS8_RefCapex</vt:lpstr>
      <vt:lpstr>IASR_FOMTable_DollarPerkWPerY</vt:lpstr>
      <vt:lpstr>IASR_InstallationPercentTable</vt:lpstr>
      <vt:lpstr>IASR_VOMTable_DollarsPerMWh</vt:lpstr>
      <vt:lpstr>IASRSelectionList</vt:lpstr>
      <vt:lpstr>IncludeFixedCappitalContributionCHarge</vt:lpstr>
      <vt:lpstr>InsuranceAdjustment_PercentPerYear</vt:lpstr>
      <vt:lpstr>LandCost_DollarsPerHa</vt:lpstr>
      <vt:lpstr>LandgateSiteList</vt:lpstr>
      <vt:lpstr>LandgateTable</vt:lpstr>
      <vt:lpstr>NG_FacilitiesCapex_DollarsMillions</vt:lpstr>
      <vt:lpstr>NG_FatLateralRechargeHours</vt:lpstr>
      <vt:lpstr>NG_FatLateralStorageHours</vt:lpstr>
      <vt:lpstr>NG_GJperT</vt:lpstr>
      <vt:lpstr>NG_HHVonLHV</vt:lpstr>
      <vt:lpstr>NG_LateralPRessureMargin_Bar</vt:lpstr>
      <vt:lpstr>OwnersCostPerc_ThermalPlant</vt:lpstr>
      <vt:lpstr>PipelineDistanceTable</vt:lpstr>
      <vt:lpstr>PreFIDCost_Millions</vt:lpstr>
      <vt:lpstr>ProportionOfInstallation_Labour</vt:lpstr>
      <vt:lpstr>Rates_DollarsPerHectare</vt:lpstr>
      <vt:lpstr>Rawlinsons_PerthFactor_Labour</vt:lpstr>
      <vt:lpstr>Rawlinsons_PerthFactor_Other</vt:lpstr>
      <vt:lpstr>Rawlinsons_RegionalCostFactorTable</vt:lpstr>
      <vt:lpstr>SiteLocation</vt:lpstr>
      <vt:lpstr>SiteSecurity_DollarsPerYear</vt:lpstr>
      <vt:lpstr>TiltFactor</vt:lpstr>
      <vt:lpstr>TUOS_centsPerkWperDay</vt:lpstr>
      <vt:lpstr>TUOS_ControlSystemServei_centsPerkWPerDay</vt:lpstr>
      <vt:lpstr>TUOS_Metering_centsPerMeterPerDay</vt:lpstr>
      <vt:lpstr>WACC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2026-08-13T03:44:08Z</dcterms:created>
  <dcterms:modified xsi:type="dcterms:W3CDTF">2026-09-30T02:55:42Z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d95f39c-8218-4425-a791-63c9e13c8708_Enabled">
    <vt:lpwstr>true</vt:lpwstr>
  </property>
  <property fmtid="{D5CDD505-2E9C-101B-9397-08002B2CF9AE}" pid="3" name="MSIP_Label_7d95f39c-8218-4425-a791-63c9e13c8708_SetDate">
    <vt:lpwstr>2026-08-13T03:48:31Z</vt:lpwstr>
  </property>
  <property fmtid="{D5CDD505-2E9C-101B-9397-08002B2CF9AE}" pid="4" name="MSIP_Label_7d95f39c-8218-4425-a791-63c9e13c8708_Method">
    <vt:lpwstr>Privileged</vt:lpwstr>
  </property>
  <property fmtid="{D5CDD505-2E9C-101B-9397-08002B2CF9AE}" pid="5" name="MSIP_Label_7d95f39c-8218-4425-a791-63c9e13c8708_Name">
    <vt:lpwstr>7d95f39c-8218-4425-a791-63c9e13c8708</vt:lpwstr>
  </property>
  <property fmtid="{D5CDD505-2E9C-101B-9397-08002B2CF9AE}" pid="6" name="MSIP_Label_7d95f39c-8218-4425-a791-63c9e13c8708_SiteId">
    <vt:lpwstr>37247798-f42c-42fd-8a37-d49c7128d36b</vt:lpwstr>
  </property>
  <property fmtid="{D5CDD505-2E9C-101B-9397-08002B2CF9AE}" pid="7" name="MSIP_Label_7d95f39c-8218-4425-a791-63c9e13c8708_ActionId">
    <vt:lpwstr>0a68cd02-8dd6-4018-b689-9d78ff46447b</vt:lpwstr>
  </property>
  <property fmtid="{D5CDD505-2E9C-101B-9397-08002B2CF9AE}" pid="8" name="MSIP_Label_7d95f39c-8218-4425-a791-63c9e13c8708_ContentBits">
    <vt:lpwstr>0</vt:lpwstr>
  </property>
  <property fmtid="{D5CDD505-2E9C-101B-9397-08002B2CF9AE}" pid="9" name="MSIP_Label_7d95f39c-8218-4425-a791-63c9e13c8708_Tag">
    <vt:lpwstr>10, 0, 1, 1</vt:lpwstr>
  </property>
  <property fmtid="{D5CDD505-2E9C-101B-9397-08002B2CF9AE}" pid="10" name="MSIP_Label_2f6a8fd1-7dbc-43c4-a21f-ec810a2e200d_Enabled">
    <vt:lpwstr>true</vt:lpwstr>
  </property>
  <property fmtid="{D5CDD505-2E9C-101B-9397-08002B2CF9AE}" pid="11" name="MSIP_Label_2f6a8fd1-7dbc-43c4-a21f-ec810a2e200d_SetDate">
    <vt:lpwstr>2026-09-08T03:13:17Z</vt:lpwstr>
  </property>
  <property fmtid="{D5CDD505-2E9C-101B-9397-08002B2CF9AE}" pid="12" name="MSIP_Label_2f6a8fd1-7dbc-43c4-a21f-ec810a2e200d_Method">
    <vt:lpwstr>Standard</vt:lpwstr>
  </property>
  <property fmtid="{D5CDD505-2E9C-101B-9397-08002B2CF9AE}" pid="13" name="MSIP_Label_2f6a8fd1-7dbc-43c4-a21f-ec810a2e200d_Name">
    <vt:lpwstr>OFFICIAL</vt:lpwstr>
  </property>
  <property fmtid="{D5CDD505-2E9C-101B-9397-08002B2CF9AE}" pid="14" name="MSIP_Label_2f6a8fd1-7dbc-43c4-a21f-ec810a2e200d_SiteId">
    <vt:lpwstr>0ab1b0be-4534-46a6-95ed-edc551e8de7b</vt:lpwstr>
  </property>
  <property fmtid="{D5CDD505-2E9C-101B-9397-08002B2CF9AE}" pid="15" name="MSIP_Label_2f6a8fd1-7dbc-43c4-a21f-ec810a2e200d_ActionId">
    <vt:lpwstr>86035b90-1a14-4445-9745-bd1ccb82a784</vt:lpwstr>
  </property>
  <property fmtid="{D5CDD505-2E9C-101B-9397-08002B2CF9AE}" pid="16" name="MSIP_Label_2f6a8fd1-7dbc-43c4-a21f-ec810a2e200d_ContentBits">
    <vt:lpwstr>1</vt:lpwstr>
  </property>
  <property fmtid="{D5CDD505-2E9C-101B-9397-08002B2CF9AE}" pid="17" name="MSIP_Label_2f6a8fd1-7dbc-43c4-a21f-ec810a2e200d_Tag">
    <vt:lpwstr>10, 3, 0, 1</vt:lpwstr>
  </property>
  <property fmtid="{D5CDD505-2E9C-101B-9397-08002B2CF9AE}" pid="18" name="ContentTypeId">
    <vt:lpwstr>0x01010076C4C119FE57F74E8003E78C7424F714</vt:lpwstr>
  </property>
</Properties>
</file>